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2022\"/>
    </mc:Choice>
  </mc:AlternateContent>
  <bookViews>
    <workbookView xWindow="0" yWindow="0" windowWidth="28800" windowHeight="10800"/>
  </bookViews>
  <sheets>
    <sheet name="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'11'!$A$6:$N$6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H22" i="1"/>
  <c r="G22" i="1"/>
  <c r="G21" i="1"/>
  <c r="H20" i="1"/>
  <c r="G20" i="1"/>
  <c r="F20" i="1"/>
  <c r="H19" i="1"/>
  <c r="H18" i="1"/>
  <c r="I17" i="1"/>
  <c r="H17" i="1"/>
  <c r="H16" i="1"/>
  <c r="H15" i="1"/>
  <c r="G15" i="1"/>
  <c r="H14" i="1"/>
  <c r="G14" i="1"/>
  <c r="F14" i="1"/>
  <c r="F13" i="1"/>
  <c r="K12" i="1"/>
  <c r="J12" i="1"/>
  <c r="F12" i="1"/>
  <c r="E12" i="1"/>
  <c r="M11" i="1"/>
  <c r="L11" i="1"/>
  <c r="K11" i="1"/>
  <c r="J11" i="1"/>
  <c r="H11" i="1"/>
  <c r="G11" i="1"/>
  <c r="F11" i="1"/>
  <c r="E11" i="1"/>
  <c r="L10" i="1"/>
  <c r="K10" i="1"/>
  <c r="J10" i="1"/>
  <c r="G10" i="1"/>
  <c r="F10" i="1"/>
  <c r="E10" i="1"/>
  <c r="N9" i="1"/>
  <c r="M9" i="1"/>
  <c r="L9" i="1"/>
  <c r="J9" i="1"/>
  <c r="K9" i="1" s="1"/>
  <c r="I9" i="1"/>
  <c r="H9" i="1"/>
  <c r="G9" i="1"/>
  <c r="E9" i="1"/>
  <c r="F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H8" i="1"/>
  <c r="G8" i="1"/>
  <c r="A8" i="1"/>
  <c r="N7" i="1"/>
  <c r="M7" i="1"/>
  <c r="I7" i="1"/>
  <c r="H7" i="1"/>
  <c r="G7" i="1"/>
  <c r="F7" i="1"/>
  <c r="K8" i="1" l="1"/>
  <c r="K7" i="1" s="1"/>
  <c r="L8" i="1" l="1"/>
  <c r="L7" i="1" s="1"/>
</calcChain>
</file>

<file path=xl/sharedStrings.xml><?xml version="1.0" encoding="utf-8"?>
<sst xmlns="http://schemas.openxmlformats.org/spreadsheetml/2006/main" count="65" uniqueCount="34">
  <si>
    <t>Объем фактического полезного отпуска электроэнергии и мощности  в разрезе территориальных сетевых организаций</t>
  </si>
  <si>
    <t>№ п/п</t>
  </si>
  <si>
    <t>Субъект РФ</t>
  </si>
  <si>
    <t>Наименование территориальной сетевой организации</t>
  </si>
  <si>
    <t>Тарифная группа</t>
  </si>
  <si>
    <t>Объем электроэнергии, кВт*ч</t>
  </si>
  <si>
    <t>Объем мощности, МВт</t>
  </si>
  <si>
    <t>ГН</t>
  </si>
  <si>
    <t>ВН</t>
  </si>
  <si>
    <t>СН-1</t>
  </si>
  <si>
    <t>СН-2</t>
  </si>
  <si>
    <t>НН</t>
  </si>
  <si>
    <t>Оренбургская область</t>
  </si>
  <si>
    <t>ПАО "Россети Волга"</t>
  </si>
  <si>
    <t>прочие</t>
  </si>
  <si>
    <t>ООО "Экспертэнергоаудит"</t>
  </si>
  <si>
    <t>Республика Башкортостан</t>
  </si>
  <si>
    <t>ООО "Башкирэнерго"</t>
  </si>
  <si>
    <t>Рязанская область</t>
  </si>
  <si>
    <t>ПАО "Россети Центр и Приволжье"</t>
  </si>
  <si>
    <t>Самарская область</t>
  </si>
  <si>
    <t>Саратовская область</t>
  </si>
  <si>
    <t>Томская область</t>
  </si>
  <si>
    <t>ПАО "ТРК"</t>
  </si>
  <si>
    <t>Тюменская область, ХМАО-Югра</t>
  </si>
  <si>
    <t>АО "Россети Тюмень"</t>
  </si>
  <si>
    <t>АО "Городские электрические сети"</t>
  </si>
  <si>
    <t xml:space="preserve">МП "ГЭС" </t>
  </si>
  <si>
    <t>ПАО "СУЭНКО"</t>
  </si>
  <si>
    <t>АО "ЮТЭК-ХМР"</t>
  </si>
  <si>
    <t>АО "ЮТЭК-РC"</t>
  </si>
  <si>
    <t>АО "ННП"</t>
  </si>
  <si>
    <t>ООО "РН-Юганскнефтегаз"</t>
  </si>
  <si>
    <t>АО "Варьеганэнергонефть"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</si>
</sst>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mmmm\ yyyy;@"/>
    <numFmt numFmtId="165" formatCode="_-* #,##0.00_р_._-;\-* #,##0.00_р_._-;_-* &quot;-&quot;??_р_._-;_-@_-"/>
    <numFmt numFmtId="166" formatCode="_-* #,##0_р_._-;\-* #,##0_р_._-;_-* &quot;-&quot;??_р_._-;_-@_-"/>
    <numFmt numFmtId="167" formatCode="_-* #,##0.000_р_._-;\-* #,##0.0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3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166" fontId="0" fillId="0" borderId="12" xfId="1" applyNumberFormat="1" applyFont="1" applyFill="1" applyBorder="1" applyAlignment="1">
      <alignment horizontal="center" vertical="center"/>
    </xf>
    <xf numFmtId="166" fontId="0" fillId="0" borderId="13" xfId="1" applyNumberFormat="1" applyFon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166" fontId="0" fillId="0" borderId="16" xfId="1" applyNumberFormat="1" applyFont="1" applyFill="1" applyBorder="1" applyAlignment="1">
      <alignment horizontal="center" vertical="center"/>
    </xf>
    <xf numFmtId="167" fontId="0" fillId="0" borderId="12" xfId="1" applyNumberFormat="1" applyFont="1" applyFill="1" applyBorder="1" applyAlignment="1">
      <alignment horizontal="center" vertical="center"/>
    </xf>
    <xf numFmtId="167" fontId="0" fillId="0" borderId="13" xfId="1" applyNumberFormat="1" applyFont="1" applyFill="1" applyBorder="1" applyAlignment="1">
      <alignment horizontal="center" vertical="center"/>
    </xf>
    <xf numFmtId="167" fontId="0" fillId="0" borderId="16" xfId="1" applyNumberFormat="1" applyFont="1" applyFill="1" applyBorder="1" applyAlignment="1">
      <alignment horizontal="center" vertical="center"/>
    </xf>
    <xf numFmtId="3" fontId="0" fillId="0" borderId="0" xfId="0" applyNumberFormat="1" applyFill="1"/>
    <xf numFmtId="166" fontId="0" fillId="0" borderId="0" xfId="0" applyNumberFormat="1" applyFill="1"/>
    <xf numFmtId="167" fontId="2" fillId="0" borderId="0" xfId="2" applyNumberFormat="1" applyFont="1" applyFill="1"/>
    <xf numFmtId="167" fontId="0" fillId="0" borderId="0" xfId="2" applyNumberFormat="1" applyFont="1" applyFill="1"/>
    <xf numFmtId="167" fontId="2" fillId="0" borderId="0" xfId="0" applyNumberFormat="1" applyFont="1" applyFill="1"/>
    <xf numFmtId="0" fontId="0" fillId="0" borderId="0" xfId="0" applyFill="1"/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center" vertical="center" wrapText="1"/>
    </xf>
    <xf numFmtId="166" fontId="0" fillId="2" borderId="17" xfId="1" applyNumberFormat="1" applyFont="1" applyFill="1" applyBorder="1" applyAlignment="1">
      <alignment horizontal="center" vertical="center"/>
    </xf>
    <xf numFmtId="166" fontId="0" fillId="2" borderId="18" xfId="1" applyNumberFormat="1" applyFont="1" applyFill="1" applyBorder="1" applyAlignment="1">
      <alignment horizontal="center" vertical="center"/>
    </xf>
    <xf numFmtId="166" fontId="0" fillId="2" borderId="20" xfId="1" applyNumberFormat="1" applyFont="1" applyFill="1" applyBorder="1" applyAlignment="1">
      <alignment horizontal="center" vertical="center"/>
    </xf>
    <xf numFmtId="167" fontId="0" fillId="2" borderId="17" xfId="1" applyNumberFormat="1" applyFont="1" applyFill="1" applyBorder="1" applyAlignment="1">
      <alignment horizontal="center" vertical="center"/>
    </xf>
    <xf numFmtId="167" fontId="0" fillId="2" borderId="18" xfId="1" applyNumberFormat="1" applyFont="1" applyFill="1" applyBorder="1" applyAlignment="1">
      <alignment horizontal="center" vertical="center"/>
    </xf>
    <xf numFmtId="167" fontId="0" fillId="2" borderId="20" xfId="1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 wrapText="1"/>
    </xf>
    <xf numFmtId="166" fontId="0" fillId="0" borderId="17" xfId="1" applyNumberFormat="1" applyFont="1" applyFill="1" applyBorder="1" applyAlignment="1">
      <alignment horizontal="center" vertical="center"/>
    </xf>
    <xf numFmtId="166" fontId="0" fillId="0" borderId="18" xfId="1" applyNumberFormat="1" applyFont="1" applyFill="1" applyBorder="1" applyAlignment="1">
      <alignment horizontal="center" vertical="center"/>
    </xf>
    <xf numFmtId="166" fontId="0" fillId="0" borderId="20" xfId="1" applyNumberFormat="1" applyFont="1" applyFill="1" applyBorder="1" applyAlignment="1">
      <alignment horizontal="center" vertical="center"/>
    </xf>
    <xf numFmtId="167" fontId="0" fillId="0" borderId="17" xfId="1" applyNumberFormat="1" applyFont="1" applyFill="1" applyBorder="1" applyAlignment="1">
      <alignment horizontal="center" vertical="center"/>
    </xf>
    <xf numFmtId="167" fontId="0" fillId="0" borderId="18" xfId="1" applyNumberFormat="1" applyFont="1" applyFill="1" applyBorder="1" applyAlignment="1">
      <alignment horizontal="center" vertical="center"/>
    </xf>
    <xf numFmtId="167" fontId="0" fillId="0" borderId="20" xfId="1" applyNumberFormat="1" applyFont="1" applyFill="1" applyBorder="1" applyAlignment="1">
      <alignment horizontal="center" vertical="center"/>
    </xf>
    <xf numFmtId="0" fontId="0" fillId="2" borderId="0" xfId="0" applyFill="1"/>
    <xf numFmtId="166" fontId="7" fillId="0" borderId="18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166" fontId="7" fillId="0" borderId="0" xfId="0" applyNumberFormat="1" applyFont="1" applyFill="1"/>
    <xf numFmtId="0" fontId="0" fillId="2" borderId="18" xfId="0" applyFill="1" applyBorder="1"/>
    <xf numFmtId="166" fontId="8" fillId="0" borderId="18" xfId="1" applyNumberFormat="1" applyFont="1" applyFill="1" applyBorder="1" applyAlignment="1">
      <alignment horizontal="center" vertical="center"/>
    </xf>
    <xf numFmtId="166" fontId="9" fillId="2" borderId="18" xfId="1" applyNumberFormat="1" applyFont="1" applyFill="1" applyBorder="1" applyAlignment="1">
      <alignment horizontal="center" vertical="center"/>
    </xf>
    <xf numFmtId="166" fontId="0" fillId="2" borderId="18" xfId="1" applyNumberFormat="1" applyFont="1" applyFill="1" applyBorder="1"/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center" vertical="center" wrapText="1"/>
    </xf>
    <xf numFmtId="166" fontId="9" fillId="2" borderId="5" xfId="1" applyNumberFormat="1" applyFont="1" applyFill="1" applyBorder="1" applyAlignment="1">
      <alignment horizontal="center" vertical="center"/>
    </xf>
    <xf numFmtId="166" fontId="9" fillId="2" borderId="6" xfId="1" applyNumberFormat="1" applyFont="1" applyFill="1" applyBorder="1" applyAlignment="1">
      <alignment horizontal="center" vertical="center"/>
    </xf>
    <xf numFmtId="167" fontId="9" fillId="2" borderId="5" xfId="1" applyNumberFormat="1" applyFont="1" applyFill="1" applyBorder="1" applyAlignment="1">
      <alignment horizontal="center" vertical="center"/>
    </xf>
    <xf numFmtId="167" fontId="9" fillId="2" borderId="6" xfId="1" applyNumberFormat="1" applyFont="1" applyFill="1" applyBorder="1" applyAlignment="1">
      <alignment horizontal="center" vertical="center"/>
    </xf>
    <xf numFmtId="167" fontId="9" fillId="2" borderId="7" xfId="1" applyNumberFormat="1" applyFont="1" applyFill="1" applyBorder="1" applyAlignment="1">
      <alignment horizontal="center" vertical="center"/>
    </xf>
    <xf numFmtId="165" fontId="0" fillId="0" borderId="0" xfId="1" applyFont="1"/>
    <xf numFmtId="9" fontId="0" fillId="0" borderId="0" xfId="2" applyFont="1"/>
    <xf numFmtId="166" fontId="0" fillId="0" borderId="0" xfId="1" applyNumberFormat="1" applyFont="1"/>
    <xf numFmtId="166" fontId="2" fillId="0" borderId="0" xfId="0" applyNumberFormat="1" applyFont="1"/>
    <xf numFmtId="166" fontId="0" fillId="0" borderId="0" xfId="2" applyNumberFormat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85;&#1050;/EESnK/_2022_&#1075;&#1086;&#1076;/&#1055;&#1086;&#1082;&#1091;&#1087;&#1082;&#1072;_&#1091;&#1089;&#1083;&#1091;&#1075;&#1080;%202022/&#1052;&#1056;&#1057;&#1050;-&#1042;&#1086;&#1083;&#1075;&#1080;%20(&#1054;&#1088;&#1077;&#1085;&#1073;&#1091;&#1088;&#1075;&#1101;&#1085;&#1077;&#1088;&#1075;&#1086;)/2022_&#1059;&#1089;&#1083;&#1091;&#1075;&#1080;%20&#1087;&#1077;&#1088;&#1077;&#1076;&#1072;&#1095;&#1080;_&#1052;&#1056;&#1057;&#1050;_&#1054;&#1088;&#1077;&#1085;&#1073;&#1091;&#1088;&#1075;&#1101;&#1085;&#1077;&#1088;&#1075;&#108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85;&#1050;/EESnK/_2022_&#1075;&#1086;&#1076;/&#1055;&#1086;&#1082;&#1091;&#1087;&#1082;&#1072;_&#1091;&#1089;&#1083;&#1091;&#1075;&#1080;%202022/&#1058;&#1102;&#1069;/_&#1076;&#1086;&#1075;&#1086;&#1074;&#1086;&#1088;%2007-02%20&#1088;&#1072;&#1089;&#1095;&#1077;&#1090;&#1099;%20202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&#1055;&#1086;&#1083;&#1077;&#1079;&#1085;&#1099;&#1081;%20&#1086;&#1090;&#1087;&#1091;&#1089;&#1082;%20&#1074;%20&#1088;&#1072;&#1079;&#1088;&#1077;&#1079;&#1077;%20&#1058;&#1057;&#1054;%20(&#1085;&#1077;%20&#1087;&#1091;&#1073;&#1083;&#1080;&#1082;&#1091;&#1077;&#1084;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85;&#1050;/EESnK/_2022_&#1075;&#1086;&#1076;/&#1056;&#1077;&#1072;&#1083;&#1080;&#1079;&#1072;&#1094;&#1080;&#1103;%202022/&#1057;&#1086;&#1088;&#1086;&#1074;&#1089;&#1082;&#1085;&#1077;&#1092;&#1090;&#1100;/&#1087;&#1086;&#1082;&#1091;&#1087;&#1082;&#1072;_&#1054;&#1056;&#1069;+&#1056;&#1056;&#1069;_&#1087;&#1088;&#1086;&#1076;&#1072;&#1078;&#1072;_&#1057;&#1086;&#1088;&#1086;&#1074;&#1089;&#1082;&#1085;&#1077;&#1092;&#1090;&#1100;_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85;&#1050;/EESnK/_2022_&#1075;&#1086;&#1076;/&#1055;&#1086;&#1082;&#1091;&#1087;&#1082;&#1072;_&#1091;&#1089;&#1083;&#1091;&#1075;&#1080;%202022/&#1043;&#1086;&#1088;&#1089;&#1077;&#1090;&#1080;/&#1059;&#1089;&#1083;&#1091;&#1075;&#1080;%20&#1043;&#1086;&#1088;&#1089;&#1077;&#1090;&#1080;_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85;&#1050;/EESnK/_2022_&#1075;&#1086;&#1076;/&#1055;&#1086;&#1082;&#1091;&#1087;&#1082;&#1072;_&#1091;&#1089;&#1083;&#1091;&#1075;&#1080;%202022/&#1043;&#1072;&#1079;&#1087;&#1088;&#1086;&#1084;%20&#1101;&#1085;&#1077;&#1088;&#1075;&#1086;&#1089;&#1073;&#1099;&#1090;%20&#1058;&#1102;&#1084;&#1077;&#1085;&#1100;%20(&#1050;&#1086;&#1085;&#1076;&#1072;&#1085;&#1077;&#1092;&#1090;&#1100;)/&#1087;&#1086;&#1082;&#1091;&#1087;&#1082;&#1072;-&#1087;&#1088;&#1086;&#1076;&#1072;&#1078;&#1072;_&#1050;&#1086;&#1085;&#1076;&#1072;&#1085;&#1077;&#1092;&#1090;&#1100;_&#1056;&#1056;&#1069;_202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85;&#1050;/EESnK/_2022_&#1075;&#1086;&#1076;/&#1055;&#1086;&#1082;&#1091;&#1087;&#1082;&#1072;_&#1091;&#1089;&#1083;&#1091;&#1075;&#1080;%202022/&#1070;&#1058;&#1069;&#1050;-&#1056;&#1057;/&#1059;&#1089;&#1083;&#1091;&#1075;&#1080;_&#1070;&#1058;&#1069;&#1050;&#1056;&#1057;_202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85;&#1050;/EESnK/_2022_&#1075;&#1086;&#1076;/&#1055;&#1086;&#1082;&#1091;&#1087;&#1082;&#1072;_&#1091;&#1089;&#1083;&#1091;&#1075;&#1080;%202022/&#1053;&#1053;&#1055;_&#1041;&#1053;&#1044;/&#1059;&#1089;&#1083;&#1091;&#1075;&#1080;_&#1053;&#1053;&#1055;_202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85;&#1050;/EESnK/_2022_&#1075;&#1086;&#1076;/&#1055;&#1086;&#1082;&#1091;&#1087;&#1082;&#1072;_&#1091;&#1089;&#1083;&#1091;&#1075;&#1080;%202022/&#1056;&#1053;-&#1069;&#1085;&#1077;&#1088;&#1075;&#1086;/_2022_&#1087;&#1086;&#1082;&#1091;&#1087;&#1082;&#1072;%20&#1056;&#1053;-&#1069;&#1085;&#1077;&#1088;&#1075;&#1086;%20-%20&#1087;&#1088;&#1086;&#1076;&#1072;&#1078;&#1072;%20&#1057;&#1053;-&#1052;&#1053;&#104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85;&#1050;/EESnK/_2022_&#1075;&#1086;&#1076;/&#1055;&#1086;&#1082;&#1091;&#1087;&#1082;&#1072;_&#1091;&#1089;&#1083;&#1091;&#1075;&#1080;%202022/&#1042;&#1069;&#1053;/&#1059;&#1089;&#1083;&#1091;&#1075;&#1080;%20&#1042;&#1069;&#1053;_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85;&#1050;/EESnK/_2022_&#1075;&#1086;&#1076;/&#1055;&#1086;&#1082;&#1091;&#1087;&#1082;&#1072;_&#1091;&#1089;&#1083;&#1091;&#1075;&#1080;%202022/&#1069;&#1085;&#1077;&#1088;&#1075;&#1086;&#1089;&#1073;&#1099;&#1058;%20&#1055;&#1083;&#1102;&#1089;/&#1055;&#1086;&#1082;&#1091;&#1087;&#1082;&#1072;%20&#1091;%20&#1069;&#1057;&#1055;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85;&#1050;/EESnK/_2022_&#1075;&#1086;&#1076;/&#1055;&#1086;&#1082;&#1091;&#1087;&#1082;&#1072;_&#1091;&#1089;&#1083;&#1091;&#1075;&#1080;%202022/&#1069;&#1085;&#1077;&#1088;&#1075;&#1086;&#1089;&#1073;&#1099;&#1058;%20&#1055;&#1083;&#1102;&#1089;/2022_&#1087;&#1086;&#1095;&#1072;&#1089;&#1086;&#1074;&#1082;&#1080;_10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85;&#1050;/EESnK/_2022_&#1075;&#1086;&#1076;/&#1055;&#1086;&#1082;&#1091;&#1087;&#1082;&#1072;_&#1091;&#1089;&#1083;&#1091;&#1075;&#1080;%202022/&#1041;&#1072;&#1096;&#1082;&#1080;&#1088;&#1101;&#1085;&#1077;&#1088;&#1075;&#1086;/&#1059;&#1089;&#1083;&#1091;&#1075;&#1080;%20&#1041;&#1072;&#1096;&#1082;&#1080;&#1088;&#1101;&#1085;&#1077;&#1088;&#1075;&#1086;_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85;&#1050;/EESnK/_2022_&#1075;&#1086;&#1076;/&#1055;&#1086;&#1082;&#1091;&#1087;&#1082;&#1072;_&#1091;&#1089;&#1083;&#1091;&#1075;&#1080;%202022/&#1056;&#1069;/&#1059;&#1089;&#1083;&#1091;&#1075;&#1080;%20&#1076;&#1086;&#1075;.50_1824_202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85;&#1050;/EESnK/_2022_&#1075;&#1086;&#1076;/&#1055;&#1086;&#1082;&#1091;&#1087;&#1082;&#1072;_&#1091;&#1089;&#1083;&#1091;&#1075;&#1080;%202022/&#1052;&#1056;&#1057;&#1050;%20&#1042;&#1086;&#1083;&#1075;&#1080;%20(&#1057;&#1072;&#1084;&#1072;&#1088;&#1072;)/&#1052;&#1056;&#1057;&#1050;%20&#1042;&#1086;&#1083;&#1075;&#1080;%20(&#1057;&#1072;&#1084;&#1072;&#1088;&#1072;)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85;&#1050;/EESnK/_2022_&#1075;&#1086;&#1076;/&#1055;&#1086;&#1082;&#1091;&#1087;&#1082;&#1072;_&#1091;&#1089;&#1083;&#1091;&#1075;&#1080;%202022/&#1057;&#1072;&#1084;&#1072;&#1088;&#1072;&#1101;&#1085;&#1077;&#1088;&#1075;&#1086;/&#1087;&#1086;&#1082;&#1091;&#1087;&#1082;&#1072;%20%20-%20&#1087;&#1088;&#1086;&#1076;&#1072;&#1078;&#1072;%20&#1054;&#1053;%20(&#1057;&#1072;&#1084;&#1072;&#1088;&#1072;)%20&#1079;&#1072;%202022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85;&#1050;/EESnK/_2022_&#1075;&#1086;&#1076;/&#1055;&#1086;&#1082;&#1091;&#1087;&#1082;&#1072;_&#1091;&#1089;&#1083;&#1091;&#1075;&#1080;%202022/&#1052;&#1056;&#1057;&#1050;-&#1042;&#1086;&#1083;&#1075;&#1080;%20(&#1057;&#1072;&#1088;&#1072;&#1090;&#1086;&#1074;)/&#1052;&#1056;&#1057;&#1050;%20&#1042;&#1086;&#1083;&#1075;&#1080;%20(&#1057;&#1072;&#1088;&#1072;&#1090;&#1086;&#1074;)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85;&#1050;/EESnK/_2022_&#1075;&#1086;&#1076;/&#1055;&#1086;&#1082;&#1091;&#1087;&#1082;&#1072;_&#1091;&#1089;&#1083;&#1091;&#1075;&#1080;%202022/&#1058;&#1056;&#1050;/2022_&#1059;&#1089;&#1083;&#1091;&#1075;&#1080;%20&#1087;&#1077;&#1088;&#1077;&#1076;&#1072;&#1095;&#1080;_&#1058;&#1056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стоимость"/>
      <sheetName val="Совокупности"/>
      <sheetName val="Справка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</sheetNames>
    <sheetDataSet>
      <sheetData sheetId="0">
        <row r="11">
          <cell r="D11">
            <v>12396.007000000001</v>
          </cell>
        </row>
        <row r="16">
          <cell r="N16">
            <v>632.10599999999999</v>
          </cell>
        </row>
        <row r="18">
          <cell r="N18">
            <v>0.96399999999999997</v>
          </cell>
        </row>
        <row r="26">
          <cell r="N26">
            <v>13008.32</v>
          </cell>
        </row>
        <row r="27">
          <cell r="N27">
            <v>8233.56</v>
          </cell>
        </row>
        <row r="28">
          <cell r="N28">
            <v>1334.6020000000001</v>
          </cell>
        </row>
        <row r="32">
          <cell r="N32">
            <v>21.936</v>
          </cell>
        </row>
        <row r="33">
          <cell r="N33">
            <v>11.775</v>
          </cell>
        </row>
        <row r="34">
          <cell r="N34">
            <v>2.0049999999999999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юЭ 2022"/>
      <sheetName val="Справка_декабрь"/>
    </sheetNames>
    <sheetDataSet>
      <sheetData sheetId="0">
        <row r="143">
          <cell r="D143">
            <v>830126.652</v>
          </cell>
          <cell r="N143">
            <v>806634.46999999986</v>
          </cell>
        </row>
        <row r="162">
          <cell r="N162">
            <v>482.166</v>
          </cell>
        </row>
        <row r="170">
          <cell r="N170">
            <v>370.404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Тюм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C14">
            <v>712282</v>
          </cell>
          <cell r="D14">
            <v>117080</v>
          </cell>
          <cell r="E14">
            <v>471146</v>
          </cell>
          <cell r="F14">
            <v>18452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покупка с ОРЭ"/>
      <sheetName val="РРЭ"/>
      <sheetName val="РРЭ (оконч)"/>
      <sheetName val="2022 реализация Соровск"/>
      <sheetName val="2022 реализация Соровск (оконч)"/>
      <sheetName val="Для Роснефти_предв"/>
      <sheetName val="Для Роснефти_факт"/>
    </sheetNames>
    <sheetDataSet>
      <sheetData sheetId="0"/>
      <sheetData sheetId="1">
        <row r="9">
          <cell r="C9">
            <v>12</v>
          </cell>
          <cell r="M9">
            <v>39</v>
          </cell>
        </row>
        <row r="15">
          <cell r="M15">
            <v>73211</v>
          </cell>
        </row>
        <row r="21">
          <cell r="M21">
            <v>7466</v>
          </cell>
        </row>
        <row r="65">
          <cell r="M65">
            <v>163</v>
          </cell>
        </row>
        <row r="106">
          <cell r="M106">
            <v>287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сети"/>
      <sheetName val="Сравнение тарифов_ver2"/>
    </sheetNames>
    <sheetDataSet>
      <sheetData sheetId="0">
        <row r="111">
          <cell r="D111">
            <v>4805508</v>
          </cell>
        </row>
        <row r="112">
          <cell r="N112">
            <v>394609</v>
          </cell>
        </row>
        <row r="113">
          <cell r="N113">
            <v>3476395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покупка"/>
      <sheetName val="2022 реализация_Конданефть"/>
    </sheetNames>
    <sheetDataSet>
      <sheetData sheetId="0">
        <row r="9">
          <cell r="E9">
            <v>40953</v>
          </cell>
          <cell r="O9">
            <v>34074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ТЭК _ННП"/>
      <sheetName val="Календарный график"/>
    </sheetNames>
    <sheetDataSet>
      <sheetData sheetId="0">
        <row r="36">
          <cell r="D36">
            <v>200668</v>
          </cell>
        </row>
        <row r="39">
          <cell r="N39">
            <v>83753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НП_(БНД)"/>
    </sheetNames>
    <sheetDataSet>
      <sheetData sheetId="0">
        <row r="37">
          <cell r="D37">
            <v>4466520</v>
          </cell>
          <cell r="N37">
            <v>3144251</v>
          </cell>
        </row>
        <row r="39">
          <cell r="N39">
            <v>278</v>
          </cell>
        </row>
        <row r="63">
          <cell r="N63">
            <v>29321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покупка с РН-Энерго"/>
      <sheetName val="2022 реализация СН-МНГ"/>
      <sheetName val="РН_предв"/>
    </sheetNames>
    <sheetDataSet>
      <sheetData sheetId="0">
        <row r="10">
          <cell r="E10">
            <v>6425964</v>
          </cell>
          <cell r="O10">
            <v>5760637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Г (Тюмень)"/>
      <sheetName val="ВНГ (Тюмень) (договорные_ВЭН)"/>
      <sheetName val="Справка"/>
      <sheetName val="Сравнение тарифов"/>
      <sheetName val="Сравнение тарифов_ver2"/>
    </sheetNames>
    <sheetDataSet>
      <sheetData sheetId="0">
        <row r="65">
          <cell r="D65">
            <v>2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6+10018"/>
      <sheetName val="1006+10018 (предв)"/>
      <sheetName val="1006 (прогноз)"/>
      <sheetName val="10018"/>
      <sheetName val="10018 (прогноз)"/>
      <sheetName val="1006+10018 (ЕЭСнК)"/>
      <sheetName val="Свод (ОРЭ+РР)"/>
      <sheetName val="Анализ прибыли_Котов"/>
    </sheetNames>
    <sheetDataSet>
      <sheetData sheetId="0" refreshError="1"/>
      <sheetData sheetId="1">
        <row r="6">
          <cell r="E6">
            <v>117602200</v>
          </cell>
        </row>
        <row r="52">
          <cell r="O52">
            <v>0</v>
          </cell>
        </row>
        <row r="56">
          <cell r="O56">
            <v>11107576</v>
          </cell>
        </row>
        <row r="57">
          <cell r="O57">
            <v>16421</v>
          </cell>
        </row>
        <row r="62">
          <cell r="O62">
            <v>21663711</v>
          </cell>
        </row>
        <row r="63">
          <cell r="O63">
            <v>33408</v>
          </cell>
        </row>
        <row r="279">
          <cell r="O279">
            <v>222783</v>
          </cell>
        </row>
        <row r="282">
          <cell r="O282">
            <v>1953274</v>
          </cell>
        </row>
        <row r="285">
          <cell r="O285">
            <v>43466</v>
          </cell>
        </row>
        <row r="289">
          <cell r="O289">
            <v>1438564</v>
          </cell>
        </row>
        <row r="290">
          <cell r="O290">
            <v>2556</v>
          </cell>
        </row>
        <row r="295">
          <cell r="O295">
            <v>172986</v>
          </cell>
        </row>
        <row r="296">
          <cell r="O296">
            <v>311</v>
          </cell>
        </row>
        <row r="301">
          <cell r="O301">
            <v>1133</v>
          </cell>
        </row>
        <row r="302">
          <cell r="O30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22_(СН-1)"/>
      <sheetName val="01.22_(СН-2)"/>
      <sheetName val="01.22_(НН)"/>
      <sheetName val="02.22_(СН-1)"/>
      <sheetName val="02.22_(СН-2)"/>
      <sheetName val="02.22_(НН)"/>
      <sheetName val="03.22_(СН-1)"/>
      <sheetName val="03.22_(СН-2)"/>
      <sheetName val="03.22_(НН)"/>
      <sheetName val="04.22_(СН-1)"/>
      <sheetName val="04.22_(СН-2)"/>
      <sheetName val="04.22_(НН)"/>
      <sheetName val="05.22_(СН-1)"/>
      <sheetName val="05.22_(СН-2)"/>
      <sheetName val="05.22_(НН)"/>
      <sheetName val="06.22_(СН-1)"/>
      <sheetName val="06.22_(СН-2)"/>
      <sheetName val="06.22_(НН)"/>
      <sheetName val="07.22_(СН-1)"/>
      <sheetName val="07.22_(СН-2)"/>
      <sheetName val="07.22_(НН)"/>
      <sheetName val="08.22_(СН-1)"/>
      <sheetName val="08.22_(СН-2)"/>
      <sheetName val="08.22_(НН)"/>
      <sheetName val="09.22_(СН-1)"/>
      <sheetName val="09.22_(СН-2)"/>
      <sheetName val="09.22_(НН)"/>
      <sheetName val="10.22_(СН-1)"/>
      <sheetName val="10.22_(СН-2)"/>
      <sheetName val="10.22_(НН)"/>
      <sheetName val="11.22_(СН-1)"/>
      <sheetName val="11.22_(СН-2)"/>
      <sheetName val="11.22_(НН)"/>
      <sheetName val="часы Региона"/>
      <sheetName val="часы СО"/>
      <sheetName val="Почасовой граф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53">
          <cell r="J753">
            <v>0</v>
          </cell>
          <cell r="O753">
            <v>0</v>
          </cell>
        </row>
        <row r="754">
          <cell r="J754">
            <v>0</v>
          </cell>
          <cell r="O754">
            <v>0</v>
          </cell>
        </row>
      </sheetData>
      <sheetData sheetId="31">
        <row r="753">
          <cell r="J753">
            <v>0</v>
          </cell>
        </row>
        <row r="754">
          <cell r="J754">
            <v>0</v>
          </cell>
        </row>
      </sheetData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ЭСК_2022"/>
      <sheetName val="для реализации ЕНПЗ"/>
      <sheetName val="БЭСК_2022 (корр май УНПЗ)"/>
      <sheetName val="Лист1"/>
    </sheetNames>
    <sheetDataSet>
      <sheetData sheetId="0">
        <row r="292">
          <cell r="F292">
            <v>549293778</v>
          </cell>
        </row>
        <row r="293">
          <cell r="P293">
            <v>416208191</v>
          </cell>
        </row>
        <row r="294">
          <cell r="P294">
            <v>85420832.999999985</v>
          </cell>
        </row>
        <row r="295">
          <cell r="P295">
            <v>6278866</v>
          </cell>
        </row>
        <row r="296">
          <cell r="P296">
            <v>70362</v>
          </cell>
        </row>
        <row r="301">
          <cell r="P301">
            <v>1416181</v>
          </cell>
        </row>
        <row r="318">
          <cell r="P318">
            <v>12795668.999999998</v>
          </cell>
        </row>
        <row r="334">
          <cell r="P334">
            <v>14194453.000000002</v>
          </cell>
        </row>
        <row r="350">
          <cell r="P350">
            <v>17472385.000000004</v>
          </cell>
        </row>
        <row r="407">
          <cell r="P407">
            <v>590690</v>
          </cell>
        </row>
        <row r="408">
          <cell r="P408">
            <v>122084</v>
          </cell>
        </row>
        <row r="409">
          <cell r="P409">
            <v>3373</v>
          </cell>
        </row>
        <row r="410">
          <cell r="N410">
            <v>0</v>
          </cell>
        </row>
        <row r="416">
          <cell r="P416">
            <v>1982.3955075247572</v>
          </cell>
        </row>
        <row r="429">
          <cell r="P429">
            <v>18209.526839204205</v>
          </cell>
        </row>
        <row r="437">
          <cell r="P437">
            <v>19994.668983764037</v>
          </cell>
        </row>
        <row r="445">
          <cell r="P445">
            <v>24672.907051556391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грузочные потери"/>
      <sheetName val="план.стоимость"/>
      <sheetName val="факт.стоимость"/>
      <sheetName val="прогноз"/>
    </sheetNames>
    <sheetDataSet>
      <sheetData sheetId="0"/>
      <sheetData sheetId="1"/>
      <sheetData sheetId="2">
        <row r="19">
          <cell r="N19">
            <v>20360.951000000001</v>
          </cell>
        </row>
        <row r="20">
          <cell r="N20">
            <v>989.64499999999998</v>
          </cell>
        </row>
        <row r="22">
          <cell r="N22">
            <v>28270</v>
          </cell>
        </row>
        <row r="23">
          <cell r="N23">
            <v>1410</v>
          </cell>
        </row>
        <row r="25">
          <cell r="N25">
            <v>58841.822</v>
          </cell>
        </row>
        <row r="26">
          <cell r="N26">
            <v>82981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Справка"/>
      <sheetName val="Справка_февраль"/>
      <sheetName val="Справка_март"/>
      <sheetName val="Справка_апрель"/>
      <sheetName val="Справка_май"/>
      <sheetName val="Справка_июнь"/>
      <sheetName val="Справка_июль"/>
      <sheetName val="Справка_август"/>
      <sheetName val="Справка_сентябрь"/>
      <sheetName val="Справка_октябрь"/>
      <sheetName val="Справка_ноябрь"/>
      <sheetName val="Справка_декабрь"/>
    </sheetNames>
    <sheetDataSet>
      <sheetData sheetId="0">
        <row r="23">
          <cell r="N23">
            <v>17093.666999999994</v>
          </cell>
        </row>
        <row r="24">
          <cell r="N24">
            <v>24.029000000000003</v>
          </cell>
        </row>
        <row r="27">
          <cell r="N27">
            <v>10084.695</v>
          </cell>
        </row>
        <row r="28">
          <cell r="N28">
            <v>14.43</v>
          </cell>
        </row>
        <row r="31">
          <cell r="N31">
            <v>41.478000000000009</v>
          </cell>
        </row>
        <row r="49">
          <cell r="N49">
            <v>0.90900000000000003</v>
          </cell>
        </row>
        <row r="52">
          <cell r="N52">
            <v>645.16600000000005</v>
          </cell>
        </row>
        <row r="57">
          <cell r="N57">
            <v>338.91599999999983</v>
          </cell>
        </row>
        <row r="58">
          <cell r="N58">
            <v>0.51500000000000001</v>
          </cell>
        </row>
        <row r="66">
          <cell r="N66">
            <v>26.070000000000068</v>
          </cell>
        </row>
        <row r="67">
          <cell r="N67">
            <v>4.8000000000000001E-2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покупка у Самараэнерго"/>
      <sheetName val="2022 реализация ОН"/>
      <sheetName val="ОН_(предв)"/>
      <sheetName val="ННК_(предв)"/>
      <sheetName val="ОН (оконч)"/>
      <sheetName val="ННК (оконч)"/>
      <sheetName val="декабрь "/>
    </sheetNames>
    <sheetDataSet>
      <sheetData sheetId="0">
        <row r="11">
          <cell r="O11">
            <v>393334</v>
          </cell>
        </row>
        <row r="12">
          <cell r="O12">
            <v>575947</v>
          </cell>
        </row>
        <row r="13">
          <cell r="N13">
            <v>186.9999999999992</v>
          </cell>
        </row>
        <row r="15">
          <cell r="O15">
            <v>681</v>
          </cell>
        </row>
        <row r="16">
          <cell r="O16">
            <v>798</v>
          </cell>
        </row>
        <row r="17">
          <cell r="O17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расчет"/>
      <sheetName val="прогноз"/>
    </sheetNames>
    <sheetDataSet>
      <sheetData sheetId="0"/>
      <sheetData sheetId="1">
        <row r="14">
          <cell r="D14">
            <v>26220.268</v>
          </cell>
        </row>
        <row r="18">
          <cell r="N18">
            <v>9268.6819999999952</v>
          </cell>
        </row>
        <row r="19">
          <cell r="N19">
            <v>13.304</v>
          </cell>
        </row>
        <row r="22">
          <cell r="N22">
            <v>15398.634999999997</v>
          </cell>
        </row>
        <row r="23">
          <cell r="N23">
            <v>21.530999999999999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стоимость"/>
      <sheetName val="аванс"/>
      <sheetName val="Справка"/>
      <sheetName val="закупка"/>
    </sheetNames>
    <sheetDataSet>
      <sheetData sheetId="0">
        <row r="16">
          <cell r="D16">
            <v>305.23500000000001</v>
          </cell>
          <cell r="N16">
            <v>3408.4090000000001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8"/>
  <sheetViews>
    <sheetView tabSelected="1" zoomScale="80" zoomScaleNormal="80" workbookViewId="0">
      <selection activeCell="G22" sqref="G22"/>
    </sheetView>
  </sheetViews>
  <sheetFormatPr defaultRowHeight="15" x14ac:dyDescent="0.25"/>
  <cols>
    <col min="1" max="1" width="6.85546875" customWidth="1"/>
    <col min="2" max="2" width="25" customWidth="1"/>
    <col min="3" max="3" width="31.7109375" customWidth="1"/>
    <col min="4" max="4" width="12.28515625" customWidth="1"/>
    <col min="5" max="5" width="17.7109375" customWidth="1"/>
    <col min="6" max="6" width="21.140625" customWidth="1"/>
    <col min="7" max="7" width="19.42578125" customWidth="1"/>
    <col min="8" max="8" width="14.28515625" customWidth="1"/>
    <col min="9" max="9" width="14.7109375" customWidth="1"/>
    <col min="10" max="10" width="12.140625" customWidth="1"/>
    <col min="11" max="11" width="15.85546875" customWidth="1"/>
    <col min="12" max="12" width="13" customWidth="1"/>
    <col min="13" max="13" width="14.85546875" customWidth="1"/>
    <col min="14" max="14" width="11.5703125" customWidth="1"/>
    <col min="15" max="15" width="13.5703125" customWidth="1"/>
    <col min="16" max="16" width="17" bestFit="1" customWidth="1"/>
    <col min="17" max="17" width="18.85546875" style="2" customWidth="1"/>
    <col min="18" max="18" width="14.28515625" bestFit="1" customWidth="1"/>
    <col min="19" max="19" width="14" style="2" customWidth="1"/>
  </cols>
  <sheetData>
    <row r="1" spans="1:32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32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32" ht="15" customHeight="1" x14ac:dyDescent="0.3">
      <c r="F3" s="4">
        <v>44866</v>
      </c>
      <c r="G3" s="4"/>
      <c r="H3" s="4"/>
    </row>
    <row r="4" spans="1:32" ht="15.75" thickBot="1" x14ac:dyDescent="0.3">
      <c r="Q4" s="5"/>
    </row>
    <row r="5" spans="1:32" s="11" customFormat="1" ht="36.75" customHeight="1" thickBot="1" x14ac:dyDescent="0.3">
      <c r="A5" s="6" t="s">
        <v>1</v>
      </c>
      <c r="B5" s="7" t="s">
        <v>2</v>
      </c>
      <c r="C5" s="7" t="s">
        <v>3</v>
      </c>
      <c r="D5" s="8" t="s">
        <v>4</v>
      </c>
      <c r="E5" s="9" t="s">
        <v>5</v>
      </c>
      <c r="F5" s="7"/>
      <c r="G5" s="7"/>
      <c r="H5" s="7"/>
      <c r="I5" s="8"/>
      <c r="J5" s="10" t="s">
        <v>6</v>
      </c>
      <c r="K5" s="7"/>
      <c r="L5" s="7"/>
      <c r="M5" s="7"/>
      <c r="N5" s="8"/>
      <c r="Q5" s="12"/>
      <c r="S5" s="13"/>
    </row>
    <row r="6" spans="1:32" ht="15.75" thickBot="1" x14ac:dyDescent="0.3">
      <c r="A6" s="14"/>
      <c r="B6" s="15"/>
      <c r="C6" s="15"/>
      <c r="D6" s="16"/>
      <c r="E6" s="17" t="s">
        <v>7</v>
      </c>
      <c r="F6" s="18" t="s">
        <v>8</v>
      </c>
      <c r="G6" s="18" t="s">
        <v>9</v>
      </c>
      <c r="H6" s="18" t="s">
        <v>10</v>
      </c>
      <c r="I6" s="19" t="s">
        <v>11</v>
      </c>
      <c r="J6" s="20" t="s">
        <v>7</v>
      </c>
      <c r="K6" s="18" t="s">
        <v>8</v>
      </c>
      <c r="L6" s="18" t="s">
        <v>9</v>
      </c>
      <c r="M6" s="18" t="s">
        <v>10</v>
      </c>
      <c r="N6" s="19" t="s">
        <v>11</v>
      </c>
    </row>
    <row r="7" spans="1:32" s="36" customFormat="1" ht="23.25" customHeight="1" x14ac:dyDescent="0.25">
      <c r="A7" s="21">
        <v>1</v>
      </c>
      <c r="B7" s="22" t="s">
        <v>12</v>
      </c>
      <c r="C7" s="22" t="s">
        <v>13</v>
      </c>
      <c r="D7" s="23" t="s">
        <v>14</v>
      </c>
      <c r="E7" s="24"/>
      <c r="F7" s="25">
        <f>([1]факт.стоимость!$N$26*1000+'[2]1006+10018 (предв)'!$O$56)</f>
        <v>24115896</v>
      </c>
      <c r="G7" s="25">
        <f>[1]факт.стоимость!$N$27*1000+'[2]1006+10018 (предв)'!$O$62+'[2]1006+10018 (предв)'!$O$279+'[2]1006+10018 (предв)'!$O$289-G8</f>
        <v>31558618</v>
      </c>
      <c r="H7" s="26">
        <f>(([1]факт.стоимость!$N$16+[1]факт.стоимость!$N$28)*1000+'[2]1006+10018 (предв)'!$O$282+'[2]1006+10018 (предв)'!$O$295+'[2]1006+10018 (предв)'!$O$52)-H8</f>
        <v>4092968</v>
      </c>
      <c r="I7" s="27">
        <f>'[2]1006+10018 (предв)'!$O$285+'[2]1006+10018 (предв)'!$O$301</f>
        <v>44599</v>
      </c>
      <c r="J7" s="28"/>
      <c r="K7" s="29">
        <f ca="1">'[2]1006+10018 (предв)'!$O$57/1000-K8+[1]факт.стоимость!$N$32</f>
        <v>38.356999999999999</v>
      </c>
      <c r="L7" s="29">
        <f ca="1">[1]факт.стоимость!$N$33+'[2]1006+10018 (предв)'!$O$63/1000+'[2]1006+10018 (предв)'!$O$290/1000-L8</f>
        <v>47.738999999999997</v>
      </c>
      <c r="M7" s="29">
        <f>([1]факт.стоимость!$N$18+[1]факт.стоимость!$N$34)+'[2]1006+10018 (предв)'!$O$296/1000</f>
        <v>3.28</v>
      </c>
      <c r="N7" s="30">
        <f>'[2]1006+10018 (предв)'!$O$302/1000</f>
        <v>2E-3</v>
      </c>
      <c r="O7" s="31"/>
      <c r="P7" s="32"/>
      <c r="Q7" s="33"/>
      <c r="R7" s="34"/>
      <c r="S7" s="35"/>
    </row>
    <row r="8" spans="1:32" s="36" customFormat="1" ht="23.25" customHeight="1" x14ac:dyDescent="0.25">
      <c r="A8" s="37">
        <f>A7+1</f>
        <v>2</v>
      </c>
      <c r="B8" s="38" t="s">
        <v>12</v>
      </c>
      <c r="C8" s="38" t="s">
        <v>15</v>
      </c>
      <c r="D8" s="39" t="s">
        <v>14</v>
      </c>
      <c r="E8" s="40"/>
      <c r="F8" s="41"/>
      <c r="G8" s="41">
        <f>'[3]11.22_(СН-1)'!$O$753+'[3]11.22_(СН-1)'!$J$753</f>
        <v>0</v>
      </c>
      <c r="H8" s="41">
        <f>'[3]11.22_(СН-2)'!$J$753</f>
        <v>0</v>
      </c>
      <c r="I8" s="42"/>
      <c r="J8" s="43"/>
      <c r="K8" s="44">
        <f ca="1">('[3]11.22_(СН-1)'!$O$754+'[3]11.22_(СН-1)'!$J$754)/1000</f>
        <v>0</v>
      </c>
      <c r="L8" s="44">
        <f ca="1">'[3]11.22_(СН-2)'!$J$754/1000</f>
        <v>0</v>
      </c>
      <c r="M8" s="44"/>
      <c r="N8" s="45"/>
      <c r="O8" s="31"/>
      <c r="P8" s="32"/>
      <c r="Q8" s="33"/>
      <c r="R8" s="34"/>
      <c r="S8" s="35"/>
    </row>
    <row r="9" spans="1:32" s="36" customFormat="1" ht="33" customHeight="1" x14ac:dyDescent="0.25">
      <c r="A9" s="37">
        <f t="shared" ref="A9:A22" si="0">A8+1</f>
        <v>3</v>
      </c>
      <c r="B9" s="38" t="s">
        <v>16</v>
      </c>
      <c r="C9" s="38" t="s">
        <v>17</v>
      </c>
      <c r="D9" s="39" t="s">
        <v>14</v>
      </c>
      <c r="E9" s="40">
        <f>[4]БЭСК_2022!$P$301+[4]БЭСК_2022!$P$318+[4]БЭСК_2022!$P$334+[4]БЭСК_2022!$P$350</f>
        <v>45878688</v>
      </c>
      <c r="F9" s="41">
        <f>[4]БЭСК_2022!$P$293-E9</f>
        <v>370329503</v>
      </c>
      <c r="G9" s="41">
        <f>[4]БЭСК_2022!$P$294</f>
        <v>85420832.999999985</v>
      </c>
      <c r="H9" s="41">
        <f>[4]БЭСК_2022!$P$295</f>
        <v>6278866</v>
      </c>
      <c r="I9" s="42">
        <f>[4]БЭСК_2022!$P$296</f>
        <v>70362</v>
      </c>
      <c r="J9" s="43">
        <f>([4]БЭСК_2022!$P$416+[4]БЭСК_2022!$P$429+[4]БЭСК_2022!$P$437+[4]БЭСК_2022!$P$445)/1000</f>
        <v>64.859498382049395</v>
      </c>
      <c r="K9" s="44">
        <f>[4]БЭСК_2022!$P$407/1000-J9</f>
        <v>525.83050161795063</v>
      </c>
      <c r="L9" s="44">
        <f>[4]БЭСК_2022!$P$408/1000</f>
        <v>122.084</v>
      </c>
      <c r="M9" s="44">
        <f>[4]БЭСК_2022!$P$409/1000</f>
        <v>3.3730000000000002</v>
      </c>
      <c r="N9" s="45">
        <f>[4]БЭСК_2022!$N$410/1000</f>
        <v>0</v>
      </c>
      <c r="O9" s="31"/>
      <c r="P9" s="32"/>
      <c r="Q9" s="33"/>
      <c r="R9" s="34"/>
      <c r="S9" s="35"/>
    </row>
    <row r="10" spans="1:32" s="36" customFormat="1" ht="27" customHeight="1" x14ac:dyDescent="0.25">
      <c r="A10" s="37">
        <f t="shared" si="0"/>
        <v>4</v>
      </c>
      <c r="B10" s="38" t="s">
        <v>18</v>
      </c>
      <c r="C10" s="38" t="s">
        <v>19</v>
      </c>
      <c r="D10" s="39" t="s">
        <v>14</v>
      </c>
      <c r="E10" s="40">
        <f>[5]факт.стоимость!$N$25*1000</f>
        <v>58841822</v>
      </c>
      <c r="F10" s="41">
        <f>[5]факт.стоимость!$N$19*1000</f>
        <v>20360951</v>
      </c>
      <c r="G10" s="41">
        <f>[5]факт.стоимость!$N$20*1000</f>
        <v>989645</v>
      </c>
      <c r="H10" s="41"/>
      <c r="I10" s="42"/>
      <c r="J10" s="43">
        <f>[5]факт.стоимость!$N$26/1000</f>
        <v>82.980999999999995</v>
      </c>
      <c r="K10" s="44">
        <f>[5]факт.стоимость!$N$22/1000</f>
        <v>28.27</v>
      </c>
      <c r="L10" s="44">
        <f>[5]факт.стоимость!$N$23/1000</f>
        <v>1.41</v>
      </c>
      <c r="M10" s="44"/>
      <c r="N10" s="45"/>
      <c r="O10" s="31"/>
      <c r="P10" s="32"/>
      <c r="Q10" s="33"/>
      <c r="R10" s="34"/>
      <c r="S10" s="35"/>
    </row>
    <row r="11" spans="1:32" s="36" customFormat="1" ht="23.25" customHeight="1" x14ac:dyDescent="0.25">
      <c r="A11" s="46">
        <f t="shared" si="0"/>
        <v>5</v>
      </c>
      <c r="B11" s="47" t="s">
        <v>20</v>
      </c>
      <c r="C11" s="47" t="s">
        <v>13</v>
      </c>
      <c r="D11" s="48" t="s">
        <v>14</v>
      </c>
      <c r="E11" s="49">
        <f>([6]расчет!$N$23+[6]расчет!$N$57)*1000</f>
        <v>17432582.999999996</v>
      </c>
      <c r="F11" s="50">
        <f>([6]расчет!$N$27+[6]расчет!$N$31+[6]расчет!$N$35+[6]расчет!$N$39+[6]расчет!$N$43+[6]расчет!$N$66)*1000+'[7]2022 покупка у Самараэнерго'!$O$11+'[7]2022 покупка у Самараэнерго'!$O$12</f>
        <v>11121523.999999998</v>
      </c>
      <c r="G11" s="50">
        <f>[6]расчет!$N$52*1000</f>
        <v>645166</v>
      </c>
      <c r="H11" s="50">
        <f>'[7]2022 покупка у Самараэнерго'!$N$13</f>
        <v>186.9999999999992</v>
      </c>
      <c r="I11" s="51"/>
      <c r="J11" s="52">
        <f>[6]расчет!$N$24+[6]расчет!$N$58</f>
        <v>24.544000000000004</v>
      </c>
      <c r="K11" s="53">
        <f>[6]расчет!$N$28+[6]расчет!$N$40+[6]расчет!$N$44+[6]расчет!$N$67+'[7]2022 покупка у Самараэнерго'!$O$15/1000+'[7]2022 покупка у Самараэнерго'!$O$16/1000</f>
        <v>15.956999999999999</v>
      </c>
      <c r="L11" s="53">
        <f>[6]расчет!$N$49</f>
        <v>0.90900000000000003</v>
      </c>
      <c r="M11" s="53">
        <f>'[7]2022 покупка у Самараэнерго'!$O$17/1000</f>
        <v>0</v>
      </c>
      <c r="N11" s="54"/>
      <c r="O11" s="31"/>
      <c r="P11" s="32"/>
      <c r="Q11" s="33"/>
      <c r="R11" s="34"/>
      <c r="S11" s="35"/>
    </row>
    <row r="12" spans="1:32" s="55" customFormat="1" ht="23.25" customHeight="1" x14ac:dyDescent="0.25">
      <c r="A12" s="37">
        <f t="shared" si="0"/>
        <v>6</v>
      </c>
      <c r="B12" s="38" t="s">
        <v>21</v>
      </c>
      <c r="C12" s="38" t="s">
        <v>13</v>
      </c>
      <c r="D12" s="39" t="s">
        <v>14</v>
      </c>
      <c r="E12" s="40">
        <f>[8]расчет!$N$18*1000</f>
        <v>9268681.9999999944</v>
      </c>
      <c r="F12" s="41">
        <f>[8]расчет!$N$22*1000</f>
        <v>15398634.999999996</v>
      </c>
      <c r="G12" s="41"/>
      <c r="H12" s="41"/>
      <c r="I12" s="42"/>
      <c r="J12" s="43">
        <f>[8]расчет!$N$19</f>
        <v>13.304</v>
      </c>
      <c r="K12" s="44">
        <f>[8]расчет!$N$23</f>
        <v>21.530999999999999</v>
      </c>
      <c r="L12" s="44"/>
      <c r="M12" s="44"/>
      <c r="N12" s="45"/>
      <c r="O12" s="31"/>
      <c r="P12" s="32"/>
      <c r="Q12" s="33"/>
      <c r="R12" s="34"/>
      <c r="S12" s="35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</row>
    <row r="13" spans="1:32" s="36" customFormat="1" x14ac:dyDescent="0.25">
      <c r="A13" s="37">
        <f t="shared" si="0"/>
        <v>7</v>
      </c>
      <c r="B13" s="38" t="s">
        <v>22</v>
      </c>
      <c r="C13" s="38" t="s">
        <v>23</v>
      </c>
      <c r="D13" s="39" t="s">
        <v>14</v>
      </c>
      <c r="E13" s="40"/>
      <c r="F13" s="41">
        <f>[9]факт.стоимость!$N$16*1000</f>
        <v>3408409</v>
      </c>
      <c r="G13" s="41"/>
      <c r="H13" s="41"/>
      <c r="I13" s="42"/>
      <c r="J13" s="43"/>
      <c r="K13" s="44"/>
      <c r="L13" s="44"/>
      <c r="M13" s="44"/>
      <c r="N13" s="45"/>
      <c r="O13" s="31"/>
      <c r="P13" s="32"/>
      <c r="Q13" s="33"/>
      <c r="R13" s="34"/>
      <c r="S13" s="35"/>
    </row>
    <row r="14" spans="1:32" s="36" customFormat="1" ht="30" x14ac:dyDescent="0.25">
      <c r="A14" s="37">
        <f t="shared" si="0"/>
        <v>8</v>
      </c>
      <c r="B14" s="38" t="s">
        <v>24</v>
      </c>
      <c r="C14" s="38" t="s">
        <v>25</v>
      </c>
      <c r="D14" s="39" t="s">
        <v>14</v>
      </c>
      <c r="E14" s="49"/>
      <c r="F14" s="56">
        <f>'[10]ТюЭ 2022'!$N$143*1000-'[10]ТюЭ 2022'!$N$162*1000+[11]Тюмень!D14+'[10]ТюЭ 2022'!$N$170*1000</f>
        <v>806639787.99999988</v>
      </c>
      <c r="G14" s="56">
        <f>[11]Тюмень!E14</f>
        <v>471146</v>
      </c>
      <c r="H14" s="56">
        <f>'[10]ТюЭ 2022'!$N$162*1000+[12]РРЭ!$M$9+[12]РРЭ!$M$106+[11]Тюмень!F14</f>
        <v>500944</v>
      </c>
      <c r="I14" s="42"/>
      <c r="J14" s="43"/>
      <c r="K14" s="44"/>
      <c r="L14" s="44"/>
      <c r="M14" s="44"/>
      <c r="N14" s="45"/>
      <c r="O14" s="57"/>
      <c r="P14" s="58"/>
      <c r="Q14" s="33"/>
      <c r="R14" s="34"/>
      <c r="S14" s="35"/>
    </row>
    <row r="15" spans="1:32" s="36" customFormat="1" ht="30" x14ac:dyDescent="0.25">
      <c r="A15" s="37">
        <f t="shared" si="0"/>
        <v>9</v>
      </c>
      <c r="B15" s="38" t="s">
        <v>24</v>
      </c>
      <c r="C15" s="38" t="s">
        <v>26</v>
      </c>
      <c r="D15" s="39" t="s">
        <v>14</v>
      </c>
      <c r="E15" s="40"/>
      <c r="F15" s="59"/>
      <c r="G15" s="50">
        <f>[13]Горсети!$N$112</f>
        <v>394609</v>
      </c>
      <c r="H15" s="60">
        <f>[13]Горсети!$N$113+[11]Тюмень!$C$14</f>
        <v>4188677</v>
      </c>
      <c r="I15" s="42"/>
      <c r="J15" s="43"/>
      <c r="K15" s="44"/>
      <c r="L15" s="44"/>
      <c r="M15" s="44"/>
      <c r="N15" s="45"/>
      <c r="O15" s="31"/>
      <c r="P15" s="32"/>
      <c r="Q15" s="33"/>
      <c r="R15" s="34"/>
      <c r="S15" s="35"/>
    </row>
    <row r="16" spans="1:32" s="36" customFormat="1" ht="30" x14ac:dyDescent="0.25">
      <c r="A16" s="37">
        <f>A15+1</f>
        <v>10</v>
      </c>
      <c r="B16" s="38" t="s">
        <v>24</v>
      </c>
      <c r="C16" s="38" t="s">
        <v>27</v>
      </c>
      <c r="D16" s="39" t="s">
        <v>14</v>
      </c>
      <c r="E16" s="40"/>
      <c r="F16" s="59"/>
      <c r="G16" s="41"/>
      <c r="H16" s="61">
        <f>[12]РРЭ!$M$65</f>
        <v>163</v>
      </c>
      <c r="I16" s="42"/>
      <c r="J16" s="43"/>
      <c r="K16" s="44"/>
      <c r="L16" s="44"/>
      <c r="M16" s="44"/>
      <c r="N16" s="45"/>
      <c r="O16" s="31"/>
      <c r="P16" s="32"/>
      <c r="Q16" s="33"/>
      <c r="R16" s="34"/>
      <c r="S16" s="35"/>
    </row>
    <row r="17" spans="1:32" s="36" customFormat="1" ht="30" x14ac:dyDescent="0.25">
      <c r="A17" s="37">
        <f t="shared" si="0"/>
        <v>11</v>
      </c>
      <c r="B17" s="38" t="s">
        <v>24</v>
      </c>
      <c r="C17" s="38" t="s">
        <v>28</v>
      </c>
      <c r="D17" s="39" t="s">
        <v>14</v>
      </c>
      <c r="E17" s="40"/>
      <c r="F17" s="59"/>
      <c r="G17" s="41"/>
      <c r="H17" s="41">
        <f>[12]РРЭ!$M$15</f>
        <v>73211</v>
      </c>
      <c r="I17" s="42">
        <f>[12]РРЭ!$M$21</f>
        <v>7466</v>
      </c>
      <c r="J17" s="43"/>
      <c r="K17" s="44"/>
      <c r="L17" s="44"/>
      <c r="M17" s="44"/>
      <c r="N17" s="45"/>
      <c r="O17" s="31"/>
      <c r="P17" s="32"/>
      <c r="Q17" s="33"/>
      <c r="R17" s="34"/>
      <c r="S17" s="35"/>
    </row>
    <row r="18" spans="1:32" s="36" customFormat="1" ht="30" x14ac:dyDescent="0.25">
      <c r="A18" s="37">
        <f t="shared" si="0"/>
        <v>12</v>
      </c>
      <c r="B18" s="38" t="s">
        <v>24</v>
      </c>
      <c r="C18" s="38" t="s">
        <v>29</v>
      </c>
      <c r="D18" s="39" t="s">
        <v>14</v>
      </c>
      <c r="E18" s="40"/>
      <c r="F18" s="59"/>
      <c r="G18" s="41"/>
      <c r="H18" s="41">
        <f>'[14]2022 покупка'!$O$9</f>
        <v>34074</v>
      </c>
      <c r="I18" s="42"/>
      <c r="J18" s="43"/>
      <c r="K18" s="44"/>
      <c r="L18" s="44"/>
      <c r="M18" s="44"/>
      <c r="N18" s="45"/>
      <c r="O18" s="31"/>
      <c r="P18" s="32"/>
      <c r="Q18" s="33"/>
      <c r="R18" s="34"/>
      <c r="S18" s="35"/>
    </row>
    <row r="19" spans="1:32" s="36" customFormat="1" ht="30" x14ac:dyDescent="0.25">
      <c r="A19" s="37">
        <f t="shared" si="0"/>
        <v>13</v>
      </c>
      <c r="B19" s="38" t="s">
        <v>24</v>
      </c>
      <c r="C19" s="38" t="s">
        <v>30</v>
      </c>
      <c r="D19" s="39" t="s">
        <v>14</v>
      </c>
      <c r="E19" s="40"/>
      <c r="F19" s="59"/>
      <c r="G19" s="41"/>
      <c r="H19" s="41">
        <f>'[15]ЮТЭК _ННП'!$N$39</f>
        <v>83753</v>
      </c>
      <c r="I19" s="42"/>
      <c r="J19" s="43"/>
      <c r="K19" s="44"/>
      <c r="L19" s="44"/>
      <c r="M19" s="44"/>
      <c r="N19" s="45"/>
      <c r="O19" s="31"/>
      <c r="P19" s="32"/>
      <c r="Q19" s="33"/>
      <c r="R19" s="34"/>
      <c r="S19" s="35"/>
    </row>
    <row r="20" spans="1:32" s="36" customFormat="1" ht="30" x14ac:dyDescent="0.25">
      <c r="A20" s="37">
        <f t="shared" si="0"/>
        <v>14</v>
      </c>
      <c r="B20" s="38" t="s">
        <v>24</v>
      </c>
      <c r="C20" s="38" t="s">
        <v>31</v>
      </c>
      <c r="D20" s="39" t="s">
        <v>14</v>
      </c>
      <c r="E20" s="40"/>
      <c r="F20" s="41">
        <f>'[16]ННП_(БНД)'!$N$37</f>
        <v>3144251</v>
      </c>
      <c r="G20" s="41">
        <f>'[16]ННП_(БНД)'!$N$63</f>
        <v>29321</v>
      </c>
      <c r="H20" s="41">
        <f>'[16]ННП_(БНД)'!$N$39</f>
        <v>278</v>
      </c>
      <c r="I20" s="42"/>
      <c r="J20" s="43"/>
      <c r="K20" s="44"/>
      <c r="L20" s="44"/>
      <c r="M20" s="44"/>
      <c r="N20" s="45"/>
      <c r="O20" s="31"/>
      <c r="P20" s="32"/>
      <c r="Q20" s="33"/>
      <c r="R20" s="34"/>
      <c r="S20" s="35"/>
    </row>
    <row r="21" spans="1:32" s="36" customFormat="1" ht="33.75" customHeight="1" x14ac:dyDescent="0.25">
      <c r="A21" s="37">
        <f t="shared" si="0"/>
        <v>15</v>
      </c>
      <c r="B21" s="38" t="s">
        <v>24</v>
      </c>
      <c r="C21" s="38" t="s">
        <v>32</v>
      </c>
      <c r="D21" s="39" t="s">
        <v>14</v>
      </c>
      <c r="E21" s="40"/>
      <c r="F21" s="62"/>
      <c r="G21" s="41">
        <f>'[17]2022 покупка с РН-Энерго'!$O$10</f>
        <v>5760637</v>
      </c>
      <c r="H21" s="41"/>
      <c r="I21" s="42"/>
      <c r="J21" s="40"/>
      <c r="K21" s="41"/>
      <c r="L21" s="41"/>
      <c r="M21" s="41"/>
      <c r="N21" s="42"/>
      <c r="O21" s="31"/>
      <c r="P21" s="32"/>
      <c r="Q21" s="33"/>
      <c r="R21" s="34"/>
      <c r="S21" s="35"/>
    </row>
    <row r="22" spans="1:32" s="36" customFormat="1" ht="30.75" thickBot="1" x14ac:dyDescent="0.3">
      <c r="A22" s="63">
        <f t="shared" si="0"/>
        <v>16</v>
      </c>
      <c r="B22" s="64" t="s">
        <v>24</v>
      </c>
      <c r="C22" s="64" t="s">
        <v>33</v>
      </c>
      <c r="D22" s="65" t="s">
        <v>14</v>
      </c>
      <c r="E22" s="66"/>
      <c r="F22" s="67"/>
      <c r="G22" s="67">
        <f>'[18]ВНГ (Тюмень)'!$M$105</f>
        <v>0</v>
      </c>
      <c r="H22" s="67">
        <f>'[18]ВНГ (Тюмень)'!$M$106+'[18]ВНГ (Тюмень)'!$M$107</f>
        <v>0</v>
      </c>
      <c r="I22" s="67"/>
      <c r="J22" s="68"/>
      <c r="K22" s="69"/>
      <c r="L22" s="69"/>
      <c r="M22" s="69">
        <f>'[18]ВНГ (Тюмень)'!$M$65/1000</f>
        <v>0</v>
      </c>
      <c r="N22" s="70"/>
      <c r="O22" s="31"/>
      <c r="P22" s="32"/>
      <c r="Q22" s="33"/>
      <c r="R22" s="34"/>
      <c r="S22" s="35"/>
    </row>
    <row r="23" spans="1:32" x14ac:dyDescent="0.25">
      <c r="O23" s="31"/>
      <c r="P23" s="32"/>
      <c r="Q23" s="33"/>
      <c r="R23" s="34"/>
      <c r="S23" s="35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</row>
    <row r="24" spans="1:32" x14ac:dyDescent="0.25"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31"/>
      <c r="P24" s="32"/>
      <c r="Q24" s="33"/>
      <c r="R24" s="34"/>
      <c r="S24" s="35"/>
      <c r="T24" s="36"/>
    </row>
    <row r="25" spans="1:32" x14ac:dyDescent="0.25"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31"/>
      <c r="P25" s="32"/>
    </row>
    <row r="26" spans="1:32" x14ac:dyDescent="0.25">
      <c r="E26" s="72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32"/>
    </row>
    <row r="27" spans="1:32" x14ac:dyDescent="0.25">
      <c r="E27" s="72"/>
      <c r="F27" s="73"/>
      <c r="G27" s="73"/>
      <c r="H27" s="73"/>
      <c r="I27" s="73"/>
      <c r="J27" s="73"/>
      <c r="K27" s="73"/>
      <c r="L27" s="73"/>
      <c r="M27" s="73"/>
      <c r="N27" s="73"/>
      <c r="O27" s="31"/>
      <c r="P27" s="32"/>
      <c r="Q27" s="74"/>
    </row>
    <row r="28" spans="1:32" x14ac:dyDescent="0.25">
      <c r="E28" s="72"/>
      <c r="F28" s="73"/>
      <c r="G28" s="73"/>
      <c r="H28" s="73"/>
      <c r="I28" s="73"/>
      <c r="J28" s="72"/>
      <c r="K28" s="72"/>
      <c r="L28" s="72"/>
      <c r="M28" s="72"/>
      <c r="N28" s="72"/>
      <c r="P28" s="32"/>
    </row>
    <row r="29" spans="1:32" x14ac:dyDescent="0.25">
      <c r="E29" s="72"/>
      <c r="F29" s="72"/>
      <c r="G29" s="73"/>
      <c r="H29" s="73"/>
      <c r="I29" s="73"/>
      <c r="J29" s="72"/>
      <c r="K29" s="72"/>
      <c r="L29" s="72"/>
      <c r="M29" s="72"/>
      <c r="N29" s="72"/>
      <c r="P29" s="32"/>
    </row>
    <row r="30" spans="1:32" x14ac:dyDescent="0.25">
      <c r="E30" s="72"/>
      <c r="G30" s="73"/>
      <c r="H30" s="73"/>
      <c r="I30" s="73"/>
      <c r="J30" s="72"/>
      <c r="K30" s="72"/>
      <c r="L30" s="72"/>
      <c r="M30" s="72"/>
      <c r="N30" s="72"/>
      <c r="P30" s="32"/>
    </row>
    <row r="31" spans="1:32" x14ac:dyDescent="0.25">
      <c r="E31" s="72"/>
      <c r="F31" s="72"/>
      <c r="G31" s="73"/>
      <c r="H31" s="73"/>
      <c r="I31" s="73"/>
      <c r="J31" s="72"/>
      <c r="K31" s="72"/>
      <c r="L31" s="72"/>
      <c r="M31" s="72"/>
      <c r="N31" s="72"/>
    </row>
    <row r="32" spans="1:32" x14ac:dyDescent="0.25">
      <c r="E32" s="72"/>
      <c r="F32" s="75"/>
      <c r="G32" s="72"/>
      <c r="H32" s="72"/>
      <c r="I32" s="72"/>
      <c r="J32" s="72"/>
      <c r="K32" s="72"/>
      <c r="L32" s="72"/>
      <c r="M32" s="72"/>
      <c r="N32" s="72"/>
    </row>
    <row r="33" spans="5:14" x14ac:dyDescent="0.25">
      <c r="E33" s="72"/>
      <c r="F33" s="72"/>
      <c r="G33" s="72"/>
      <c r="H33" s="72"/>
      <c r="I33" s="72"/>
      <c r="J33" s="72"/>
      <c r="K33" s="72"/>
      <c r="L33" s="72"/>
      <c r="M33" s="72"/>
      <c r="N33" s="72"/>
    </row>
    <row r="34" spans="5:14" x14ac:dyDescent="0.25">
      <c r="E34" s="72"/>
      <c r="F34" s="72"/>
      <c r="G34" s="72"/>
      <c r="H34" s="72"/>
      <c r="I34" s="72"/>
      <c r="J34" s="72"/>
      <c r="K34" s="72"/>
      <c r="L34" s="72"/>
      <c r="M34" s="72"/>
      <c r="N34" s="72"/>
    </row>
    <row r="35" spans="5:14" x14ac:dyDescent="0.25">
      <c r="E35" s="72"/>
      <c r="F35" s="72"/>
      <c r="G35" s="72"/>
      <c r="H35" s="72"/>
      <c r="I35" s="72"/>
      <c r="J35" s="72"/>
      <c r="K35" s="72"/>
      <c r="L35" s="72"/>
      <c r="M35" s="72"/>
      <c r="N35" s="72"/>
    </row>
    <row r="36" spans="5:14" x14ac:dyDescent="0.25">
      <c r="E36" s="72"/>
      <c r="F36" s="72"/>
      <c r="G36" s="72"/>
      <c r="H36" s="72"/>
      <c r="I36" s="72"/>
      <c r="J36" s="72"/>
      <c r="K36" s="72"/>
      <c r="L36" s="72"/>
      <c r="M36" s="72"/>
      <c r="N36" s="72"/>
    </row>
    <row r="37" spans="5:14" x14ac:dyDescent="0.25">
      <c r="E37" s="72"/>
      <c r="F37" s="72"/>
      <c r="G37" s="72"/>
      <c r="H37" s="72"/>
      <c r="I37" s="72"/>
      <c r="J37" s="72"/>
      <c r="K37" s="72"/>
      <c r="L37" s="72"/>
      <c r="M37" s="72"/>
      <c r="N37" s="72"/>
    </row>
    <row r="38" spans="5:14" x14ac:dyDescent="0.25">
      <c r="E38" s="72"/>
      <c r="F38" s="72"/>
      <c r="G38" s="72"/>
      <c r="H38" s="72"/>
      <c r="I38" s="72"/>
      <c r="J38" s="72"/>
      <c r="K38" s="72"/>
      <c r="L38" s="72"/>
      <c r="M38" s="72"/>
      <c r="N38" s="72"/>
    </row>
  </sheetData>
  <mergeCells count="8">
    <mergeCell ref="A1:N1"/>
    <mergeCell ref="F3:H3"/>
    <mergeCell ref="A5:A6"/>
    <mergeCell ref="B5:B6"/>
    <mergeCell ref="C5:C6"/>
    <mergeCell ref="D5:D6"/>
    <mergeCell ref="E5:I5"/>
    <mergeCell ref="J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Левина Екатерина Юрьевна</dc:creator>
  <cp:lastModifiedBy>Левина Екатерина Юрьевна</cp:lastModifiedBy>
  <dcterms:created xsi:type="dcterms:W3CDTF">2022-12-09T07:44:37Z</dcterms:created>
  <dcterms:modified xsi:type="dcterms:W3CDTF">2022-12-09T07:45:38Z</dcterms:modified>
</cp:coreProperties>
</file>