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'04'!$A$6:$P$6</definedName>
  </definedNames>
  <calcPr calcId="145621"/>
</workbook>
</file>

<file path=xl/calcChain.xml><?xml version="1.0" encoding="utf-8"?>
<calcChain xmlns="http://schemas.openxmlformats.org/spreadsheetml/2006/main">
  <c r="J17" i="1" l="1"/>
  <c r="I17" i="1"/>
  <c r="H17" i="1"/>
  <c r="J16" i="1"/>
  <c r="I15" i="1"/>
  <c r="I14" i="1"/>
  <c r="H14" i="1"/>
  <c r="G14" i="1"/>
  <c r="M13" i="1"/>
  <c r="G13" i="1"/>
  <c r="M12" i="1"/>
  <c r="K12" i="1"/>
  <c r="G12" i="1"/>
  <c r="E12" i="1"/>
  <c r="N11" i="1"/>
  <c r="M11" i="1"/>
  <c r="K11" i="1"/>
  <c r="I11" i="1"/>
  <c r="H11" i="1"/>
  <c r="G11" i="1"/>
  <c r="E11" i="1"/>
  <c r="N10" i="1"/>
  <c r="M10" i="1"/>
  <c r="K10" i="1"/>
  <c r="H10" i="1"/>
  <c r="G10" i="1"/>
  <c r="E10" i="1"/>
  <c r="M9" i="1"/>
  <c r="G9" i="1"/>
  <c r="A9" i="1"/>
  <c r="A10" i="1" s="1"/>
  <c r="A11" i="1" s="1"/>
  <c r="A12" i="1" s="1"/>
  <c r="A13" i="1" s="1"/>
  <c r="A14" i="1" s="1"/>
  <c r="A15" i="1" s="1"/>
  <c r="A16" i="1" s="1"/>
  <c r="A17" i="1" s="1"/>
  <c r="N8" i="1"/>
  <c r="H8" i="1"/>
  <c r="H7" i="1" s="1"/>
  <c r="A8" i="1"/>
  <c r="O7" i="1"/>
  <c r="N7" i="1"/>
  <c r="M7" i="1"/>
  <c r="J7" i="1"/>
  <c r="I7" i="1"/>
  <c r="G7" i="1"/>
</calcChain>
</file>

<file path=xl/sharedStrings.xml><?xml version="1.0" encoding="utf-8"?>
<sst xmlns="http://schemas.openxmlformats.org/spreadsheetml/2006/main" count="52" uniqueCount="30">
  <si>
    <t>Объем фактического полезного отпуска электроэнергии и мощности  в разрезе территориальных сетевых организаций</t>
  </si>
  <si>
    <t>№ п/п</t>
  </si>
  <si>
    <t>Субъект РФ</t>
  </si>
  <si>
    <t>Наименование территориальной сетевой организации</t>
  </si>
  <si>
    <t>Тарифная группа</t>
  </si>
  <si>
    <t>Объем электроэнергии, кВт*ч</t>
  </si>
  <si>
    <t>Объем мощности, МВт</t>
  </si>
  <si>
    <t>ГН</t>
  </si>
  <si>
    <t>ВН-1</t>
  </si>
  <si>
    <t>ВН</t>
  </si>
  <si>
    <t>СН-1</t>
  </si>
  <si>
    <t>СН-2</t>
  </si>
  <si>
    <t>НН</t>
  </si>
  <si>
    <t>Оренбургская область</t>
  </si>
  <si>
    <t>ПАО "МРСК Волги"</t>
  </si>
  <si>
    <t>прочие</t>
  </si>
  <si>
    <t>ООО "Экспертэнергоаудит"</t>
  </si>
  <si>
    <t>Республика Башкортостан</t>
  </si>
  <si>
    <t>ООО "Башкирэнерго"</t>
  </si>
  <si>
    <t>Рязанская область</t>
  </si>
  <si>
    <t>ПАО "МРСК Центра и Приволжья"</t>
  </si>
  <si>
    <t>Самарская область</t>
  </si>
  <si>
    <t>Саратовская область</t>
  </si>
  <si>
    <t>Томская область</t>
  </si>
  <si>
    <t>ПАО "ТРК"</t>
  </si>
  <si>
    <t>Тюменская область, ХМАО-Югра</t>
  </si>
  <si>
    <t>АО "Тюменьэнерго"</t>
  </si>
  <si>
    <t>АО "Городские электрические сети"</t>
  </si>
  <si>
    <t>ООО "Башнефть-Добыча"</t>
  </si>
  <si>
    <t>ОАО "Варьеганэнергонефть"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</si>
</sst>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  <numFmt numFmtId="166" formatCode="_-* #,##0.000_р_._-;\-* #,##0.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165" fontId="0" fillId="2" borderId="12" xfId="1" applyNumberFormat="1" applyFont="1" applyFill="1" applyBorder="1" applyAlignment="1">
      <alignment horizontal="center" vertical="center"/>
    </xf>
    <xf numFmtId="165" fontId="0" fillId="2" borderId="13" xfId="1" applyNumberFormat="1" applyFon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165" fontId="0" fillId="2" borderId="16" xfId="1" applyNumberFormat="1" applyFont="1" applyFill="1" applyBorder="1" applyAlignment="1">
      <alignment horizontal="center" vertical="center"/>
    </xf>
    <xf numFmtId="166" fontId="0" fillId="2" borderId="12" xfId="1" applyNumberFormat="1" applyFont="1" applyFill="1" applyBorder="1" applyAlignment="1">
      <alignment horizontal="center" vertical="center"/>
    </xf>
    <xf numFmtId="166" fontId="0" fillId="2" borderId="13" xfId="1" applyNumberFormat="1" applyFont="1" applyFill="1" applyBorder="1" applyAlignment="1">
      <alignment horizontal="center" vertical="center"/>
    </xf>
    <xf numFmtId="166" fontId="0" fillId="2" borderId="16" xfId="1" applyNumberFormat="1" applyFont="1" applyFill="1" applyBorder="1" applyAlignment="1">
      <alignment horizontal="center" vertical="center"/>
    </xf>
    <xf numFmtId="3" fontId="0" fillId="0" borderId="0" xfId="0" applyNumberFormat="1" applyFill="1"/>
    <xf numFmtId="165" fontId="0" fillId="0" borderId="0" xfId="0" applyNumberFormat="1" applyFill="1"/>
    <xf numFmtId="9" fontId="0" fillId="0" borderId="0" xfId="2" applyFont="1" applyFill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center" vertical="center" wrapText="1"/>
    </xf>
    <xf numFmtId="165" fontId="0" fillId="2" borderId="17" xfId="1" applyNumberFormat="1" applyFont="1" applyFill="1" applyBorder="1" applyAlignment="1">
      <alignment horizontal="center" vertical="center"/>
    </xf>
    <xf numFmtId="165" fontId="0" fillId="2" borderId="18" xfId="1" applyNumberFormat="1" applyFont="1" applyFill="1" applyBorder="1" applyAlignment="1">
      <alignment horizontal="center" vertical="center"/>
    </xf>
    <xf numFmtId="165" fontId="0" fillId="2" borderId="20" xfId="1" applyNumberFormat="1" applyFont="1" applyFill="1" applyBorder="1" applyAlignment="1">
      <alignment horizontal="center" vertical="center"/>
    </xf>
    <xf numFmtId="166" fontId="0" fillId="2" borderId="17" xfId="1" applyNumberFormat="1" applyFont="1" applyFill="1" applyBorder="1" applyAlignment="1">
      <alignment horizontal="center" vertical="center"/>
    </xf>
    <xf numFmtId="166" fontId="0" fillId="2" borderId="18" xfId="1" applyNumberFormat="1" applyFont="1" applyFill="1" applyBorder="1" applyAlignment="1">
      <alignment horizontal="center" vertical="center"/>
    </xf>
    <xf numFmtId="166" fontId="0" fillId="2" borderId="20" xfId="1" applyNumberFormat="1" applyFont="1" applyFill="1" applyBorder="1" applyAlignment="1">
      <alignment horizontal="center" vertical="center"/>
    </xf>
    <xf numFmtId="0" fontId="0" fillId="2" borderId="0" xfId="0" applyFill="1" applyBorder="1"/>
    <xf numFmtId="166" fontId="0" fillId="0" borderId="0" xfId="0" applyNumberFormat="1" applyFill="1"/>
    <xf numFmtId="0" fontId="0" fillId="2" borderId="0" xfId="0" applyFill="1"/>
    <xf numFmtId="0" fontId="0" fillId="2" borderId="18" xfId="0" applyFill="1" applyBorder="1"/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 vertical="center" wrapText="1"/>
    </xf>
    <xf numFmtId="165" fontId="0" fillId="2" borderId="5" xfId="1" applyNumberFormat="1" applyFont="1" applyFill="1" applyBorder="1" applyAlignment="1">
      <alignment horizontal="center" vertical="center"/>
    </xf>
    <xf numFmtId="165" fontId="0" fillId="2" borderId="6" xfId="1" applyNumberFormat="1" applyFont="1" applyFill="1" applyBorder="1" applyAlignment="1">
      <alignment horizontal="center" vertical="center"/>
    </xf>
    <xf numFmtId="165" fontId="0" fillId="2" borderId="7" xfId="1" applyNumberFormat="1" applyFont="1" applyFill="1" applyBorder="1" applyAlignment="1">
      <alignment horizontal="center" vertical="center"/>
    </xf>
    <xf numFmtId="166" fontId="0" fillId="2" borderId="5" xfId="1" applyNumberFormat="1" applyFont="1" applyFill="1" applyBorder="1" applyAlignment="1">
      <alignment horizontal="center" vertical="center"/>
    </xf>
    <xf numFmtId="166" fontId="0" fillId="2" borderId="6" xfId="1" applyNumberFormat="1" applyFont="1" applyFill="1" applyBorder="1" applyAlignment="1">
      <alignment horizontal="center" vertical="center"/>
    </xf>
    <xf numFmtId="166" fontId="0" fillId="2" borderId="7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1" applyFont="1"/>
    <xf numFmtId="43" fontId="0" fillId="0" borderId="0" xfId="0" applyNumberForma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69;&#1085;&#1077;&#1088;&#1075;&#1086;&#1089;&#1073;&#1099;&#1058;%20&#1055;&#1083;&#1102;&#1089;/&#1055;&#1086;&#1082;&#1091;&#1087;&#1082;&#1072;%20&#1091;%20&#1069;&#1057;&#1055;_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2;&#1072;&#1082;&#1089;&#1080;&#1084;&#1091;&#1084;&#1099;%20&#1085;&#1072;&#1075;&#1088;&#1091;&#1079;&#1086;&#1082;_2018/&#1084;&#1072;&#1082;&#1089;&#1080;&#1084;&#1091;&#1084;&#1099;%20&#1085;&#1072;&#1075;&#1088;&#1091;&#1079;&#1086;&#1082;_&#1058;&#1086;&#1084;&#1089;&#1082;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8;&#1102;&#1069;/_&#1076;&#1086;&#1075;&#1086;&#1074;&#1086;&#1088;%2007-02%20&#1088;&#1072;&#1089;&#1095;&#1077;&#1090;&#1099;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&#1055;&#1086;&#1083;&#1077;&#1079;&#1085;&#1099;&#1081;%20&#1086;&#1090;&#1087;&#1091;&#1089;&#1082;%20&#1074;%20&#1088;&#1072;&#1079;&#1088;&#1077;&#1079;&#1077;%20&#1058;&#1057;&#1054;%20(&#1085;&#1077;%20&#1087;&#1091;&#1073;&#1083;&#1080;&#1082;&#1091;&#1077;&#1084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3;&#1069;&#1053;/&#1059;&#1089;&#1083;&#1091;&#1075;&#1080;%20&#1053;&#1069;&#1053;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42;&#1069;&#1053;/&#1059;&#1089;&#1083;&#1091;&#1075;&#1080;%20&#1042;&#1069;&#1053;_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2;&#1056;&#1057;&#1050;-&#1042;&#1086;&#1083;&#1075;&#1080;%20(&#1054;&#1088;&#1077;&#1085;&#1073;&#1091;&#1088;&#1075;&#1101;&#1085;&#1077;&#1088;&#1075;&#1086;)/&#1059;&#1089;&#1083;&#1091;&#1075;&#1080;%20&#1087;&#1077;&#1088;&#1077;&#1076;&#1072;&#1095;&#1080;_&#1052;&#1056;&#1057;&#1050;_&#1054;&#1088;&#1077;&#1085;&#1073;&#1091;&#1088;&#1075;&#1101;&#1085;&#1077;&#1088;&#1075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69;&#1085;&#1077;&#1088;&#1075;&#1086;&#1089;&#1073;&#1099;&#1058;%20&#1055;&#1083;&#1102;&#1089;/04.18/_04_18_&#1087;&#1086;&#1095;&#1072;&#1089;&#1086;&#1074;&#1082;&#1080;_&#1076;&#1086;&#1075;_10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41;&#1072;&#1096;&#1082;&#1080;&#1088;&#1101;&#1085;&#1077;&#1088;&#1075;&#1086;/&#1059;&#1089;&#1083;&#1091;&#1075;&#1080;%20&#1041;&#1072;&#1096;&#1082;&#1080;&#1088;&#1101;&#1085;&#1077;&#1088;&#1075;&#1086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6;&#1069;/&#1059;&#1089;&#1083;&#1091;&#1075;&#1080;%20&#1076;&#1086;&#1075;.50_1824_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6;&#1069;&#1057;&#1050;/&#1087;&#1086;&#1082;&#1091;&#1087;&#1082;&#1072;%20%20-%20&#1087;&#1088;&#1086;&#1076;&#1072;&#1078;&#1072;%20&#1055;&#1088;&#1086;&#1084;&#1082;&#1072;&#1090;&#1072;&#1083;&#1080;&#1079;%20(&#1056;&#1069;&#1057;&#1050;)%20&#1079;&#1072;%20201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2;&#1056;&#1057;&#1050;%20&#1042;&#1086;&#1083;&#1075;&#1080;%20(&#1057;&#1072;&#1084;&#1072;&#1088;&#1072;)/&#1052;&#1056;&#1057;&#1050;%20&#1042;&#1086;&#1083;&#1075;&#1080;%20(&#1057;&#1072;&#1084;&#1072;&#1088;&#1072;)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5;&#1086;&#1082;&#1091;&#1087;&#1082;&#1072;_&#1091;&#1089;&#1083;&#1091;&#1075;&#1080;%202018/&#1057;&#1072;&#1084;&#1072;&#1088;&#1072;&#1101;&#1085;&#1077;&#1088;&#1075;&#1086;/&#1087;&#1086;&#1082;&#1091;&#1087;&#1082;&#1072;%20%20-%20&#1087;&#1088;&#1086;&#1076;&#1072;&#1078;&#1072;%20&#1054;&#1053;%20(&#1057;&#1072;&#1084;&#1072;&#1088;&#1072;)%20&#1079;&#1072;%202018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ESnK/_2018_&#1075;&#1086;&#1076;/&#1052;&#1072;&#1082;&#1089;&#1080;&#1084;&#1091;&#1084;&#1099;%20&#1085;&#1072;&#1075;&#1088;&#1091;&#1079;&#1086;&#1082;_2018/&#1084;&#1072;&#1082;&#1089;&#1080;&#1084;&#1091;&#1084;&#1099;%20&#1085;&#1072;&#1075;&#1088;&#1091;&#1079;&#1086;&#1082;_&#1057;&#1072;&#1088;&#1072;&#1090;&#1086;&#1074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6+10018"/>
      <sheetName val="1006+10018 (предв)"/>
      <sheetName val="1006 (прогноз)"/>
      <sheetName val="10018"/>
      <sheetName val="10018 (прогноз)"/>
    </sheetNames>
    <sheetDataSet>
      <sheetData sheetId="0" refreshError="1"/>
      <sheetData sheetId="1">
        <row r="12">
          <cell r="F12">
            <v>669895</v>
          </cell>
          <cell r="H12">
            <v>643072</v>
          </cell>
        </row>
        <row r="13">
          <cell r="H13">
            <v>255429</v>
          </cell>
        </row>
        <row r="14">
          <cell r="H14">
            <v>2037022</v>
          </cell>
        </row>
        <row r="15">
          <cell r="H15">
            <v>37601</v>
          </cell>
        </row>
        <row r="17">
          <cell r="H17">
            <v>39857089</v>
          </cell>
        </row>
        <row r="18">
          <cell r="H18">
            <v>58564</v>
          </cell>
        </row>
        <row r="19">
          <cell r="H19">
            <v>28396016</v>
          </cell>
        </row>
        <row r="20">
          <cell r="H20">
            <v>40576</v>
          </cell>
        </row>
        <row r="21">
          <cell r="H21">
            <v>975751</v>
          </cell>
        </row>
        <row r="22">
          <cell r="H22">
            <v>1416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щность"/>
      <sheetName val="часы СО"/>
      <sheetName val="Часы региона"/>
      <sheetName val="январь_2018"/>
      <sheetName val="февраль_2018"/>
      <sheetName val="март_2018"/>
      <sheetName val="апрель_2018"/>
    </sheetNames>
    <sheetDataSet>
      <sheetData sheetId="0">
        <row r="17">
          <cell r="D17">
            <v>5586.7390000000014</v>
          </cell>
          <cell r="G17">
            <v>4548.0200000000032</v>
          </cell>
        </row>
        <row r="18">
          <cell r="G18">
            <v>6.492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юЭ 2018"/>
    </sheetNames>
    <sheetDataSet>
      <sheetData sheetId="0">
        <row r="143">
          <cell r="D143">
            <v>817502.66699999943</v>
          </cell>
          <cell r="G143">
            <v>770230.34300000046</v>
          </cell>
        </row>
        <row r="162">
          <cell r="G162">
            <v>181.19800000000006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Тюмень"/>
    </sheetNames>
    <sheetDataSet>
      <sheetData sheetId="0"/>
      <sheetData sheetId="1"/>
      <sheetData sheetId="2"/>
      <sheetData sheetId="3"/>
      <sheetData sheetId="4">
        <row r="6">
          <cell r="C6">
            <v>851299</v>
          </cell>
          <cell r="D6">
            <v>88679</v>
          </cell>
          <cell r="E6">
            <v>932313</v>
          </cell>
          <cell r="F6">
            <v>18800</v>
          </cell>
          <cell r="G6">
            <v>905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ЭН"/>
      <sheetName val="Сравнение тарифов_ver2"/>
    </sheetNames>
    <sheetDataSet>
      <sheetData sheetId="0">
        <row r="56">
          <cell r="D56">
            <v>4151831</v>
          </cell>
          <cell r="F56">
            <v>3860151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Г (Тюмень)"/>
      <sheetName val="ВНГ (Тюмень) (договорные_ВЭН)"/>
      <sheetName val="Сравнение тарифов"/>
      <sheetName val="Сравнение тарифов_ver2"/>
    </sheetNames>
    <sheetDataSet>
      <sheetData sheetId="0">
        <row r="105">
          <cell r="D105">
            <v>2213491</v>
          </cell>
          <cell r="G105">
            <v>1318768</v>
          </cell>
        </row>
        <row r="106">
          <cell r="G106">
            <v>19687827</v>
          </cell>
        </row>
        <row r="107">
          <cell r="G107">
            <v>10150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стоимость"/>
      <sheetName val="аванс"/>
    </sheetNames>
    <sheetDataSet>
      <sheetData sheetId="0">
        <row r="17">
          <cell r="D17">
            <v>913.36900000000003</v>
          </cell>
          <cell r="G17">
            <v>730.55700000000002</v>
          </cell>
        </row>
        <row r="19">
          <cell r="G19">
            <v>1.091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_данные"/>
      <sheetName val="часы СО"/>
      <sheetName val="максимум"/>
      <sheetName val="Акт_ЕЭСнК-ОЭС"/>
      <sheetName val="Часы региона"/>
      <sheetName val="Лист1"/>
    </sheetNames>
    <sheetDataSet>
      <sheetData sheetId="0" refreshError="1"/>
      <sheetData sheetId="1" refreshError="1"/>
      <sheetData sheetId="2">
        <row r="7">
          <cell r="W7">
            <v>1314862</v>
          </cell>
          <cell r="AE7">
            <v>39312</v>
          </cell>
        </row>
        <row r="8">
          <cell r="W8">
            <v>2098</v>
          </cell>
          <cell r="AE8">
            <v>71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шкортостан"/>
    </sheetNames>
    <sheetDataSet>
      <sheetData sheetId="0">
        <row r="165">
          <cell r="E165">
            <v>2797.1939999999991</v>
          </cell>
          <cell r="H165">
            <v>2560.2440000000006</v>
          </cell>
        </row>
        <row r="180">
          <cell r="H180">
            <v>3721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грузочные потери"/>
      <sheetName val="факт.стоимость"/>
    </sheetNames>
    <sheetDataSet>
      <sheetData sheetId="0" refreshError="1"/>
      <sheetData sheetId="1">
        <row r="19">
          <cell r="D19">
            <v>31940.054999999986</v>
          </cell>
          <cell r="G19">
            <v>15383.372000000014</v>
          </cell>
        </row>
        <row r="20">
          <cell r="G20">
            <v>942.82299999999952</v>
          </cell>
        </row>
        <row r="22">
          <cell r="G22">
            <v>22023</v>
          </cell>
        </row>
        <row r="23">
          <cell r="G23">
            <v>1351</v>
          </cell>
        </row>
        <row r="25">
          <cell r="G25">
            <v>39392.149000000034</v>
          </cell>
        </row>
        <row r="26">
          <cell r="G26">
            <v>56285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покупка у РЭСК"/>
      <sheetName val="2018 реализация Промкатализ"/>
      <sheetName val="АВАНСЫ"/>
      <sheetName val="Лист1"/>
    </sheetNames>
    <sheetDataSet>
      <sheetData sheetId="0">
        <row r="10">
          <cell r="E10">
            <v>95495</v>
          </cell>
          <cell r="H10">
            <v>120069</v>
          </cell>
        </row>
        <row r="13">
          <cell r="H13">
            <v>275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</sheetNames>
    <sheetDataSet>
      <sheetData sheetId="0">
        <row r="23">
          <cell r="D23">
            <v>20997.280999999995</v>
          </cell>
          <cell r="G23">
            <v>20907.330999999998</v>
          </cell>
        </row>
        <row r="24">
          <cell r="G24">
            <v>29.803000000000001</v>
          </cell>
        </row>
        <row r="27">
          <cell r="G27">
            <v>12043.211000000001</v>
          </cell>
        </row>
        <row r="28">
          <cell r="G28">
            <v>17.021999999999995</v>
          </cell>
        </row>
        <row r="31">
          <cell r="G31">
            <v>28.556999999999931</v>
          </cell>
        </row>
        <row r="36">
          <cell r="G36">
            <v>627.03100000000109</v>
          </cell>
        </row>
        <row r="41">
          <cell r="G41">
            <v>0.875</v>
          </cell>
        </row>
        <row r="45">
          <cell r="G45">
            <v>269.74900000000008</v>
          </cell>
        </row>
        <row r="50">
          <cell r="G50">
            <v>0.45600000000000002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покупка у Самараэнерго"/>
      <sheetName val="2018 реализация ОН"/>
      <sheetName val="АВАНСЫ"/>
      <sheetName val="Лист1"/>
    </sheetNames>
    <sheetDataSet>
      <sheetData sheetId="0">
        <row r="11">
          <cell r="E11">
            <v>5069400</v>
          </cell>
          <cell r="H11">
            <v>8367526</v>
          </cell>
        </row>
        <row r="12">
          <cell r="H12">
            <v>378031</v>
          </cell>
        </row>
        <row r="13">
          <cell r="H13">
            <v>590596</v>
          </cell>
        </row>
        <row r="14">
          <cell r="H14">
            <v>187</v>
          </cell>
        </row>
        <row r="15">
          <cell r="H15">
            <v>13630</v>
          </cell>
        </row>
      </sheetData>
      <sheetData sheetId="1">
        <row r="10">
          <cell r="H10">
            <v>8367526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щность"/>
      <sheetName val="часы СО"/>
      <sheetName val="Часы региона"/>
      <sheetName val="январь_2018"/>
      <sheetName val="февраль_2018"/>
      <sheetName val="март_2018"/>
      <sheetName val="апрель_2018"/>
    </sheetNames>
    <sheetDataSet>
      <sheetData sheetId="0">
        <row r="13">
          <cell r="D13">
            <v>11467.712000000001</v>
          </cell>
          <cell r="G13">
            <v>13072.915999999988</v>
          </cell>
        </row>
        <row r="14">
          <cell r="G14">
            <v>18.401</v>
          </cell>
        </row>
        <row r="19">
          <cell r="G19">
            <v>11814.416000000014</v>
          </cell>
        </row>
        <row r="20">
          <cell r="G20">
            <v>16.797000000000001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6"/>
  <sheetViews>
    <sheetView tabSelected="1" zoomScale="80" zoomScaleNormal="80" workbookViewId="0">
      <selection sqref="A1:XFD1048576"/>
    </sheetView>
  </sheetViews>
  <sheetFormatPr defaultRowHeight="15" x14ac:dyDescent="0.25"/>
  <cols>
    <col min="1" max="1" width="6.85546875" customWidth="1"/>
    <col min="2" max="2" width="25" customWidth="1"/>
    <col min="3" max="3" width="31.7109375" customWidth="1"/>
    <col min="4" max="4" width="12.28515625" customWidth="1"/>
    <col min="5" max="5" width="17.7109375" customWidth="1"/>
    <col min="6" max="6" width="8.28515625" customWidth="1"/>
    <col min="7" max="7" width="17.42578125" customWidth="1"/>
    <col min="8" max="8" width="19.42578125" customWidth="1"/>
    <col min="9" max="9" width="14.28515625" customWidth="1"/>
    <col min="10" max="10" width="10" customWidth="1"/>
    <col min="11" max="11" width="10.140625" customWidth="1"/>
    <col min="12" max="12" width="8.7109375" customWidth="1"/>
    <col min="13" max="13" width="15.85546875" customWidth="1"/>
    <col min="14" max="14" width="13" customWidth="1"/>
    <col min="15" max="15" width="14.140625" customWidth="1"/>
    <col min="16" max="16" width="7.85546875" customWidth="1"/>
    <col min="17" max="17" width="13.5703125" customWidth="1"/>
    <col min="18" max="18" width="14.28515625" bestFit="1" customWidth="1"/>
    <col min="19" max="19" width="14.7109375" customWidth="1"/>
  </cols>
  <sheetData>
    <row r="1" spans="1:34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4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4" ht="15" customHeight="1" x14ac:dyDescent="0.3">
      <c r="F3" s="3">
        <v>43191</v>
      </c>
      <c r="G3" s="3"/>
      <c r="H3" s="3"/>
      <c r="I3" s="3"/>
    </row>
    <row r="4" spans="1:34" ht="15.75" thickBot="1" x14ac:dyDescent="0.3"/>
    <row r="5" spans="1:34" s="9" customFormat="1" ht="36.75" customHeight="1" thickBot="1" x14ac:dyDescent="0.3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5"/>
      <c r="G5" s="5"/>
      <c r="H5" s="5"/>
      <c r="I5" s="5"/>
      <c r="J5" s="6"/>
      <c r="K5" s="8" t="s">
        <v>6</v>
      </c>
      <c r="L5" s="5"/>
      <c r="M5" s="5"/>
      <c r="N5" s="5"/>
      <c r="O5" s="5"/>
      <c r="P5" s="6"/>
    </row>
    <row r="6" spans="1:34" ht="15.75" thickBot="1" x14ac:dyDescent="0.3">
      <c r="A6" s="10"/>
      <c r="B6" s="11"/>
      <c r="C6" s="11"/>
      <c r="D6" s="12"/>
      <c r="E6" s="13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6" t="s">
        <v>7</v>
      </c>
      <c r="L6" s="14" t="s">
        <v>8</v>
      </c>
      <c r="M6" s="14" t="s">
        <v>9</v>
      </c>
      <c r="N6" s="14" t="s">
        <v>10</v>
      </c>
      <c r="O6" s="14" t="s">
        <v>11</v>
      </c>
      <c r="P6" s="15" t="s">
        <v>12</v>
      </c>
    </row>
    <row r="7" spans="1:34" s="30" customFormat="1" ht="23.25" customHeight="1" x14ac:dyDescent="0.25">
      <c r="A7" s="17">
        <v>1</v>
      </c>
      <c r="B7" s="18" t="s">
        <v>13</v>
      </c>
      <c r="C7" s="18" t="s">
        <v>14</v>
      </c>
      <c r="D7" s="19" t="s">
        <v>15</v>
      </c>
      <c r="E7" s="20"/>
      <c r="F7" s="21"/>
      <c r="G7" s="21">
        <f>'[1]1006+10018 (предв)'!$H$12+'[1]1006+10018 (предв)'!$H$17</f>
        <v>40500161</v>
      </c>
      <c r="H7" s="21">
        <f>'[1]1006+10018 (предв)'!$H$13+'[1]1006+10018 (предв)'!$H$19-H8</f>
        <v>27297271</v>
      </c>
      <c r="I7" s="22">
        <f>'[1]1006+10018 (предв)'!$H$14+'[1]1006+10018 (предв)'!$H$21+[2]факт.стоимость!$G$17*1000</f>
        <v>3743330</v>
      </c>
      <c r="J7" s="23">
        <f>'[1]1006+10018 (предв)'!$H$15</f>
        <v>37601</v>
      </c>
      <c r="K7" s="24"/>
      <c r="L7" s="25"/>
      <c r="M7" s="25">
        <f>'[1]1006+10018 (предв)'!$H$18/1000</f>
        <v>58.564</v>
      </c>
      <c r="N7" s="25">
        <f>'[1]1006+10018 (предв)'!$H$20/1000-N8</f>
        <v>38.407000000000004</v>
      </c>
      <c r="O7" s="25">
        <f>'[1]1006+10018 (предв)'!$H$22/1000+[2]факт.стоимость!$G$19</f>
        <v>2.5069999999999997</v>
      </c>
      <c r="P7" s="26"/>
      <c r="Q7" s="27"/>
      <c r="R7" s="28"/>
      <c r="S7" s="29"/>
      <c r="T7" s="29"/>
    </row>
    <row r="8" spans="1:34" s="30" customFormat="1" ht="23.25" customHeight="1" x14ac:dyDescent="0.25">
      <c r="A8" s="31">
        <f>A7+1</f>
        <v>2</v>
      </c>
      <c r="B8" s="32" t="s">
        <v>13</v>
      </c>
      <c r="C8" s="32" t="s">
        <v>16</v>
      </c>
      <c r="D8" s="33" t="s">
        <v>15</v>
      </c>
      <c r="E8" s="34"/>
      <c r="F8" s="35"/>
      <c r="G8" s="35"/>
      <c r="H8" s="35">
        <f>[3]максимум!$W$7+[3]максимум!$AE$7</f>
        <v>1354174</v>
      </c>
      <c r="I8" s="35"/>
      <c r="J8" s="36"/>
      <c r="K8" s="37"/>
      <c r="L8" s="38"/>
      <c r="M8" s="38"/>
      <c r="N8" s="38">
        <f>[3]максимум!$W$8/1000+[3]максимум!$AE$8/1000</f>
        <v>2.169</v>
      </c>
      <c r="O8" s="38"/>
      <c r="P8" s="39"/>
      <c r="Q8" s="27"/>
      <c r="R8" s="28"/>
      <c r="S8" s="29"/>
      <c r="T8" s="29"/>
    </row>
    <row r="9" spans="1:34" s="30" customFormat="1" ht="33" customHeight="1" x14ac:dyDescent="0.25">
      <c r="A9" s="31">
        <f t="shared" ref="A9:A17" si="0">A8+1</f>
        <v>3</v>
      </c>
      <c r="B9" s="32" t="s">
        <v>17</v>
      </c>
      <c r="C9" s="32" t="s">
        <v>18</v>
      </c>
      <c r="D9" s="33" t="s">
        <v>15</v>
      </c>
      <c r="E9" s="34"/>
      <c r="F9" s="35"/>
      <c r="G9" s="35">
        <f>[4]Башкортостан!$H$165*1000</f>
        <v>2560244.0000000005</v>
      </c>
      <c r="H9" s="35"/>
      <c r="I9" s="35"/>
      <c r="J9" s="36"/>
      <c r="K9" s="37"/>
      <c r="L9" s="38"/>
      <c r="M9" s="38">
        <f>[4]Башкортостан!$H$180/1000</f>
        <v>3.7210000000000001</v>
      </c>
      <c r="N9" s="38"/>
      <c r="O9" s="38"/>
      <c r="P9" s="39"/>
      <c r="Q9" s="27"/>
      <c r="R9" s="28"/>
      <c r="S9" s="29"/>
      <c r="T9" s="29"/>
    </row>
    <row r="10" spans="1:34" s="30" customFormat="1" ht="27" customHeight="1" x14ac:dyDescent="0.25">
      <c r="A10" s="31">
        <f t="shared" si="0"/>
        <v>4</v>
      </c>
      <c r="B10" s="32" t="s">
        <v>19</v>
      </c>
      <c r="C10" s="32" t="s">
        <v>20</v>
      </c>
      <c r="D10" s="33" t="s">
        <v>15</v>
      </c>
      <c r="E10" s="34">
        <f>ROUND([5]факт.стоимость!$G$25*1000,0)</f>
        <v>39392149</v>
      </c>
      <c r="F10" s="35"/>
      <c r="G10" s="35">
        <f>ROUND([5]факт.стоимость!$G$19*1000+'[6]2018 покупка у РЭСК'!$H$10,0)</f>
        <v>15503441</v>
      </c>
      <c r="H10" s="35">
        <f>ROUND([5]факт.стоимость!$G$20*1000,0)</f>
        <v>942823</v>
      </c>
      <c r="I10" s="35"/>
      <c r="J10" s="36"/>
      <c r="K10" s="37">
        <f>[5]факт.стоимость!$G$26/1000</f>
        <v>56.284999999999997</v>
      </c>
      <c r="L10" s="38"/>
      <c r="M10" s="38">
        <f>[5]факт.стоимость!$G$22/1000+'[6]2018 покупка у РЭСК'!$H$13/1000</f>
        <v>22.297999999999998</v>
      </c>
      <c r="N10" s="38">
        <f>[5]факт.стоимость!$G$23/1000</f>
        <v>1.351</v>
      </c>
      <c r="O10" s="38"/>
      <c r="P10" s="39"/>
      <c r="Q10" s="27"/>
      <c r="R10" s="28"/>
      <c r="S10" s="29"/>
      <c r="T10" s="29"/>
    </row>
    <row r="11" spans="1:34" s="30" customFormat="1" ht="23.25" customHeight="1" x14ac:dyDescent="0.25">
      <c r="A11" s="31">
        <f t="shared" si="0"/>
        <v>5</v>
      </c>
      <c r="B11" s="32" t="s">
        <v>21</v>
      </c>
      <c r="C11" s="32" t="s">
        <v>14</v>
      </c>
      <c r="D11" s="33" t="s">
        <v>15</v>
      </c>
      <c r="E11" s="34">
        <f>[7]расчет!$G$23*1000+[7]расчет!$G$45*1000</f>
        <v>21177080</v>
      </c>
      <c r="F11" s="40"/>
      <c r="G11" s="35">
        <f>[7]расчет!$G$27*1000+[7]расчет!$G$31*1000+'[8]2018 покупка у Самараэнерго'!$H$11+'[8]2018 покупка у Самараэнерго'!$H$12+'[8]2018 покупка у Самараэнерго'!$H$13</f>
        <v>21407921</v>
      </c>
      <c r="H11" s="35">
        <f>[7]расчет!$G$36*1000</f>
        <v>627031.00000000105</v>
      </c>
      <c r="I11" s="35">
        <f>'[8]2018 покупка у Самараэнерго'!$H$14</f>
        <v>187</v>
      </c>
      <c r="J11" s="36"/>
      <c r="K11" s="38">
        <f>[7]расчет!$G$24+[7]расчет!$G$50</f>
        <v>30.259</v>
      </c>
      <c r="L11" s="40"/>
      <c r="M11" s="38">
        <f>[7]расчет!$G$28+'[8]2018 покупка у Самараэнерго'!$H$15/1000</f>
        <v>30.651999999999994</v>
      </c>
      <c r="N11" s="38">
        <f>[7]расчет!$G$41</f>
        <v>0.875</v>
      </c>
      <c r="O11" s="38"/>
      <c r="P11" s="39"/>
      <c r="Q11" s="27"/>
      <c r="R11" s="28"/>
      <c r="S11" s="41"/>
      <c r="T11" s="29"/>
    </row>
    <row r="12" spans="1:34" s="42" customFormat="1" ht="23.25" customHeight="1" x14ac:dyDescent="0.25">
      <c r="A12" s="31">
        <f t="shared" si="0"/>
        <v>6</v>
      </c>
      <c r="B12" s="32" t="s">
        <v>22</v>
      </c>
      <c r="C12" s="32" t="s">
        <v>14</v>
      </c>
      <c r="D12" s="33" t="s">
        <v>15</v>
      </c>
      <c r="E12" s="34">
        <f>[9]мощность!$G$19*1000</f>
        <v>11814416.000000013</v>
      </c>
      <c r="F12" s="35"/>
      <c r="G12" s="35">
        <f>[9]мощность!$G$13*1000</f>
        <v>13072915.999999989</v>
      </c>
      <c r="H12" s="35"/>
      <c r="I12" s="35"/>
      <c r="J12" s="36"/>
      <c r="K12" s="37">
        <f>[9]мощность!$G$20</f>
        <v>16.797000000000001</v>
      </c>
      <c r="L12" s="38"/>
      <c r="M12" s="38">
        <f>[9]мощность!$G$14</f>
        <v>18.401</v>
      </c>
      <c r="N12" s="38"/>
      <c r="O12" s="38"/>
      <c r="P12" s="39"/>
      <c r="Q12" s="27"/>
      <c r="R12" s="28"/>
      <c r="S12" s="28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30" customFormat="1" x14ac:dyDescent="0.25">
      <c r="A13" s="31">
        <f t="shared" si="0"/>
        <v>7</v>
      </c>
      <c r="B13" s="32" t="s">
        <v>23</v>
      </c>
      <c r="C13" s="32" t="s">
        <v>24</v>
      </c>
      <c r="D13" s="33" t="s">
        <v>15</v>
      </c>
      <c r="E13" s="34"/>
      <c r="F13" s="35"/>
      <c r="G13" s="35">
        <f>[10]мощность!$G$17*1000</f>
        <v>4548020.0000000028</v>
      </c>
      <c r="H13" s="35"/>
      <c r="I13" s="35"/>
      <c r="J13" s="36"/>
      <c r="K13" s="37"/>
      <c r="L13" s="38"/>
      <c r="M13" s="38">
        <f>[10]мощность!$G$18</f>
        <v>6.492</v>
      </c>
      <c r="N13" s="38"/>
      <c r="O13" s="38"/>
      <c r="P13" s="39"/>
      <c r="Q13" s="27"/>
      <c r="R13" s="28"/>
      <c r="S13" s="41"/>
      <c r="T13" s="29"/>
    </row>
    <row r="14" spans="1:34" s="30" customFormat="1" ht="30" x14ac:dyDescent="0.25">
      <c r="A14" s="31">
        <f t="shared" si="0"/>
        <v>8</v>
      </c>
      <c r="B14" s="32" t="s">
        <v>25</v>
      </c>
      <c r="C14" s="32" t="s">
        <v>26</v>
      </c>
      <c r="D14" s="33" t="s">
        <v>15</v>
      </c>
      <c r="E14" s="34"/>
      <c r="F14" s="35"/>
      <c r="G14" s="35">
        <f>'[11]ТюЭ 2018'!$G$143*1000+[12]Тюмень!D6-'[11]ТюЭ 2018'!$G$162*1000</f>
        <v>770137824.00000048</v>
      </c>
      <c r="H14" s="35">
        <f>[12]Тюмень!E6</f>
        <v>932313</v>
      </c>
      <c r="I14" s="35">
        <f>[12]Тюмень!C6+[12]Тюмень!F6+'[11]ТюЭ 2018'!$G$162*1000</f>
        <v>1051297</v>
      </c>
      <c r="J14" s="36"/>
      <c r="K14" s="37"/>
      <c r="L14" s="38"/>
      <c r="M14" s="38"/>
      <c r="N14" s="38"/>
      <c r="O14" s="38"/>
      <c r="P14" s="39"/>
      <c r="Q14" s="27"/>
      <c r="R14" s="28"/>
      <c r="S14" s="29"/>
      <c r="T14" s="29"/>
    </row>
    <row r="15" spans="1:34" s="30" customFormat="1" ht="30" x14ac:dyDescent="0.25">
      <c r="A15" s="31">
        <f t="shared" si="0"/>
        <v>9</v>
      </c>
      <c r="B15" s="32" t="s">
        <v>25</v>
      </c>
      <c r="C15" s="32" t="s">
        <v>27</v>
      </c>
      <c r="D15" s="33" t="s">
        <v>15</v>
      </c>
      <c r="E15" s="34"/>
      <c r="F15" s="35"/>
      <c r="G15" s="43"/>
      <c r="H15" s="35"/>
      <c r="I15" s="35">
        <f>[13]НЭН!$F$56</f>
        <v>3860151</v>
      </c>
      <c r="J15" s="36"/>
      <c r="K15" s="37"/>
      <c r="L15" s="38"/>
      <c r="M15" s="38"/>
      <c r="N15" s="38"/>
      <c r="O15" s="38"/>
      <c r="P15" s="39"/>
      <c r="Q15" s="27"/>
      <c r="R15" s="28"/>
      <c r="S15" s="29"/>
      <c r="T15" s="29"/>
    </row>
    <row r="16" spans="1:34" s="30" customFormat="1" ht="30" x14ac:dyDescent="0.25">
      <c r="A16" s="31">
        <f t="shared" si="0"/>
        <v>10</v>
      </c>
      <c r="B16" s="32" t="s">
        <v>25</v>
      </c>
      <c r="C16" s="32" t="s">
        <v>28</v>
      </c>
      <c r="D16" s="33" t="s">
        <v>15</v>
      </c>
      <c r="E16" s="34"/>
      <c r="F16" s="35"/>
      <c r="G16" s="43"/>
      <c r="H16" s="35"/>
      <c r="I16" s="35"/>
      <c r="J16" s="36">
        <f>[12]Тюмень!$G$6</f>
        <v>905</v>
      </c>
      <c r="K16" s="37"/>
      <c r="L16" s="38"/>
      <c r="M16" s="38"/>
      <c r="N16" s="38"/>
      <c r="O16" s="38"/>
      <c r="P16" s="39"/>
      <c r="Q16" s="27"/>
      <c r="R16" s="28"/>
      <c r="S16" s="29"/>
      <c r="T16" s="29"/>
    </row>
    <row r="17" spans="1:34" s="30" customFormat="1" ht="30.75" thickBot="1" x14ac:dyDescent="0.3">
      <c r="A17" s="44">
        <f t="shared" si="0"/>
        <v>11</v>
      </c>
      <c r="B17" s="45" t="s">
        <v>25</v>
      </c>
      <c r="C17" s="45" t="s">
        <v>29</v>
      </c>
      <c r="D17" s="46" t="s">
        <v>15</v>
      </c>
      <c r="E17" s="47"/>
      <c r="F17" s="48"/>
      <c r="G17" s="48"/>
      <c r="H17" s="48">
        <f>'[14]ВНГ (Тюмень)'!$G$105</f>
        <v>1318768</v>
      </c>
      <c r="I17" s="48">
        <f>'[14]ВНГ (Тюмень)'!$G$106</f>
        <v>19687827</v>
      </c>
      <c r="J17" s="49">
        <f>'[14]ВНГ (Тюмень)'!$G$107</f>
        <v>10150</v>
      </c>
      <c r="K17" s="50"/>
      <c r="L17" s="51"/>
      <c r="M17" s="51"/>
      <c r="N17" s="51"/>
      <c r="O17" s="51"/>
      <c r="P17" s="52"/>
      <c r="Q17" s="27"/>
      <c r="R17" s="28"/>
      <c r="S17" s="29"/>
      <c r="T17" s="29"/>
    </row>
    <row r="18" spans="1:34" x14ac:dyDescent="0.25">
      <c r="Q18" s="27"/>
      <c r="R18" s="28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x14ac:dyDescent="0.25">
      <c r="E19" s="53"/>
      <c r="F19" s="53"/>
      <c r="G19" s="53"/>
      <c r="H19" s="53"/>
      <c r="I19" s="53"/>
      <c r="J19" s="53"/>
      <c r="K19" s="54"/>
      <c r="L19" s="54"/>
      <c r="M19" s="55"/>
      <c r="N19" s="55"/>
      <c r="O19" s="55"/>
      <c r="P19" s="54"/>
      <c r="Q19" s="27"/>
      <c r="R19" s="28"/>
    </row>
    <row r="20" spans="1:34" x14ac:dyDescent="0.25">
      <c r="E20" s="53"/>
      <c r="F20" s="53"/>
      <c r="H20" s="53"/>
      <c r="I20" s="53"/>
      <c r="J20" s="53"/>
      <c r="K20" s="53"/>
      <c r="L20" s="53"/>
      <c r="N20" s="53"/>
      <c r="O20" s="53"/>
      <c r="P20" s="54"/>
      <c r="Q20" s="27"/>
      <c r="R20" s="28"/>
    </row>
    <row r="21" spans="1:34" x14ac:dyDescent="0.25"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3"/>
      <c r="R21" s="28"/>
    </row>
    <row r="22" spans="1:34" x14ac:dyDescent="0.25"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27"/>
      <c r="R22" s="28"/>
      <c r="S22" s="54"/>
    </row>
    <row r="23" spans="1:34" x14ac:dyDescent="0.25"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R23" s="28"/>
    </row>
    <row r="24" spans="1:34" x14ac:dyDescent="0.25">
      <c r="E24" s="57"/>
      <c r="F24" s="57"/>
      <c r="G24" s="57"/>
      <c r="H24" s="57"/>
      <c r="I24" s="57"/>
      <c r="J24" s="57"/>
      <c r="K24" s="54"/>
      <c r="L24" s="54"/>
      <c r="M24" s="54"/>
      <c r="N24" s="54"/>
      <c r="O24" s="54"/>
      <c r="P24" s="54"/>
      <c r="R24" s="28"/>
    </row>
    <row r="25" spans="1:34" x14ac:dyDescent="0.25">
      <c r="G25" s="54"/>
      <c r="H25" s="57"/>
      <c r="I25" s="57"/>
      <c r="J25" s="57"/>
      <c r="K25" s="57"/>
      <c r="L25" s="57"/>
      <c r="M25" s="55"/>
      <c r="N25" s="55"/>
      <c r="O25" s="55"/>
      <c r="P25" s="55"/>
      <c r="R25" s="28"/>
    </row>
    <row r="26" spans="1:34" x14ac:dyDescent="0.25">
      <c r="F26" s="54"/>
      <c r="H26" s="54"/>
      <c r="I26" s="54"/>
      <c r="J26" s="54"/>
    </row>
  </sheetData>
  <mergeCells count="8">
    <mergeCell ref="A1:P1"/>
    <mergeCell ref="F3:I3"/>
    <mergeCell ref="A5:A6"/>
    <mergeCell ref="B5:B6"/>
    <mergeCell ref="C5:C6"/>
    <mergeCell ref="D5:D6"/>
    <mergeCell ref="E5:J5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Smolich, Kristina R.</dc:creator>
  <cp:lastModifiedBy>Smolich, Kristina R.</cp:lastModifiedBy>
  <dcterms:created xsi:type="dcterms:W3CDTF">2018-05-07T13:37:09Z</dcterms:created>
  <dcterms:modified xsi:type="dcterms:W3CDTF">2018-05-07T13:37:52Z</dcterms:modified>
</cp:coreProperties>
</file>